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2760" yWindow="32760" windowWidth="19440" windowHeight="9210" tabRatio="704"/>
  </bookViews>
  <sheets>
    <sheet name="ZS Mich" sheetId="13" r:id="rId1"/>
    <sheet name="ZSP NW" sheetId="8" r:id="rId2"/>
    <sheet name="Pd NW" sheetId="46" r:id="rId3"/>
    <sheet name="Pd Mich" sheetId="15" r:id="rId4"/>
    <sheet name="ZSO Kom" sheetId="7" r:id="rId5"/>
    <sheet name="CUW" sheetId="17" r:id="rId6"/>
    <sheet name="Niepubl placówki" sheetId="39" r:id="rId7"/>
    <sheet name="Aktualizacja IV" sheetId="44" r:id="rId8"/>
    <sheet name="Wylicz dotacji przedszk" sheetId="41" r:id="rId9"/>
    <sheet name="Wylicz dotacji O" sheetId="47" r:id="rId10"/>
    <sheet name="Niepub dochody" sheetId="40" r:id="rId11"/>
    <sheet name="wydatki oświaty" sheetId="43" r:id="rId12"/>
    <sheet name="wyd niepubl" sheetId="42" r:id="rId13"/>
    <sheet name="Zbiorczo-paragr" sheetId="25" r:id="rId14"/>
  </sheets>
  <externalReferences>
    <externalReference r:id="rId15"/>
    <externalReference r:id="rId16"/>
    <externalReference r:id="rId17"/>
    <externalReference r:id="rId18"/>
  </externalReferences>
  <definedNames>
    <definedName name="_xlnm.Print_Area" localSheetId="5">CUW!$A$1:$I$187</definedName>
    <definedName name="_xlnm.Print_Area" localSheetId="6">'Niepubl placówki'!$A$1:$F$150</definedName>
    <definedName name="_xlnm.Print_Area" localSheetId="3">'Pd Mich'!$A$1:$I$85</definedName>
    <definedName name="_xlnm.Print_Area" localSheetId="12">'wyd niepubl'!$A$1:$G$156</definedName>
    <definedName name="_xlnm.Print_Area" localSheetId="11">'wydatki oświaty'!$A$1:$G$635</definedName>
    <definedName name="_xlnm.Print_Area" localSheetId="8">'Wylicz dotacji przedszk'!$A$1:$H$30</definedName>
    <definedName name="_xlnm.Print_Area" localSheetId="13">'Zbiorczo-paragr'!$A$1:$G$755</definedName>
    <definedName name="_xlnm.Print_Area" localSheetId="0">'ZS Mich'!$A$1:$G$199</definedName>
    <definedName name="_xlnm.Print_Area" localSheetId="4">'ZSO Kom'!$A$1:$H$256</definedName>
    <definedName name="_xlnm.Print_Area" localSheetId="1">'ZSP NW'!$A$1:$G$238</definedName>
  </definedNames>
  <calcPr calcId="125725"/>
</workbook>
</file>

<file path=xl/calcChain.xml><?xml version="1.0" encoding="utf-8"?>
<calcChain xmlns="http://schemas.openxmlformats.org/spreadsheetml/2006/main">
  <c r="C6" i="47"/>
  <c r="F189" i="17"/>
  <c r="E189"/>
  <c r="C23" i="47"/>
  <c r="C11"/>
  <c r="G5"/>
  <c r="D5"/>
  <c r="D4"/>
  <c r="G3"/>
  <c r="D3"/>
  <c r="D7"/>
  <c r="F488" i="25"/>
  <c r="E195" i="17"/>
  <c r="E194"/>
  <c r="E193"/>
  <c r="E192"/>
  <c r="J49"/>
  <c r="C8" i="44"/>
  <c r="C7"/>
  <c r="D6" i="41"/>
  <c r="F68" i="7"/>
  <c r="F4" i="13"/>
  <c r="F106" i="8"/>
  <c r="F254" i="43"/>
  <c r="F103" i="8"/>
  <c r="F50"/>
  <c r="F139" i="43"/>
  <c r="F4" i="8"/>
  <c r="F68"/>
  <c r="F182" i="43"/>
  <c r="F65" i="8"/>
  <c r="F82" i="17"/>
  <c r="E538" i="25"/>
  <c r="F539"/>
  <c r="G132" i="17"/>
  <c r="D131"/>
  <c r="D132"/>
  <c r="F166" i="8"/>
  <c r="G168"/>
  <c r="E634" i="43"/>
  <c r="E633"/>
  <c r="E632"/>
  <c r="F591"/>
  <c r="D588"/>
  <c r="D576"/>
  <c r="D575"/>
  <c r="D574"/>
  <c r="D573"/>
  <c r="D570"/>
  <c r="D569"/>
  <c r="D568"/>
  <c r="D567"/>
  <c r="G564"/>
  <c r="F562"/>
  <c r="F549"/>
  <c r="E549"/>
  <c r="F548"/>
  <c r="E548"/>
  <c r="F547"/>
  <c r="E547"/>
  <c r="E546" s="1"/>
  <c r="F545"/>
  <c r="E545"/>
  <c r="F544"/>
  <c r="E544"/>
  <c r="F541"/>
  <c r="E541"/>
  <c r="F540"/>
  <c r="E540"/>
  <c r="F539"/>
  <c r="E539"/>
  <c r="F537"/>
  <c r="E537"/>
  <c r="E536"/>
  <c r="E535"/>
  <c r="E534"/>
  <c r="F530"/>
  <c r="E530"/>
  <c r="F527"/>
  <c r="E527"/>
  <c r="F526"/>
  <c r="G526" s="1"/>
  <c r="E526"/>
  <c r="F525"/>
  <c r="E525"/>
  <c r="E524" s="1"/>
  <c r="F523"/>
  <c r="E523"/>
  <c r="F521"/>
  <c r="E521"/>
  <c r="F518"/>
  <c r="E518"/>
  <c r="G515"/>
  <c r="E513"/>
  <c r="F512"/>
  <c r="E512"/>
  <c r="E511" s="1"/>
  <c r="F509"/>
  <c r="E509"/>
  <c r="F508"/>
  <c r="E508"/>
  <c r="F507"/>
  <c r="E507"/>
  <c r="E506"/>
  <c r="E630" s="1"/>
  <c r="F503"/>
  <c r="E503"/>
  <c r="F501"/>
  <c r="E501"/>
  <c r="F500"/>
  <c r="E500"/>
  <c r="F499"/>
  <c r="E499"/>
  <c r="E498" s="1"/>
  <c r="F497"/>
  <c r="E497"/>
  <c r="E496" s="1"/>
  <c r="F495"/>
  <c r="E495"/>
  <c r="F494"/>
  <c r="E494"/>
  <c r="F493"/>
  <c r="E493"/>
  <c r="F491"/>
  <c r="E491"/>
  <c r="F490"/>
  <c r="E490"/>
  <c r="F489"/>
  <c r="E489"/>
  <c r="E488" s="1"/>
  <c r="F487"/>
  <c r="E487"/>
  <c r="F486"/>
  <c r="E486"/>
  <c r="F485"/>
  <c r="E485"/>
  <c r="F483"/>
  <c r="E483"/>
  <c r="F482"/>
  <c r="E482"/>
  <c r="E480" s="1"/>
  <c r="E629" s="1"/>
  <c r="F481"/>
  <c r="E481"/>
  <c r="F479"/>
  <c r="E479"/>
  <c r="F478"/>
  <c r="E478"/>
  <c r="D478"/>
  <c r="E477"/>
  <c r="F476"/>
  <c r="E476"/>
  <c r="D476"/>
  <c r="F475"/>
  <c r="F467"/>
  <c r="E467"/>
  <c r="E466" s="1"/>
  <c r="E468" s="1"/>
  <c r="E469" s="1"/>
  <c r="E463"/>
  <c r="E462" s="1"/>
  <c r="E455"/>
  <c r="E454"/>
  <c r="F452"/>
  <c r="E452"/>
  <c r="F451"/>
  <c r="E451"/>
  <c r="F450"/>
  <c r="E450"/>
  <c r="F449"/>
  <c r="E449"/>
  <c r="F448"/>
  <c r="E448"/>
  <c r="F447"/>
  <c r="E447"/>
  <c r="F446"/>
  <c r="E446"/>
  <c r="F445"/>
  <c r="E445"/>
  <c r="F444"/>
  <c r="E444"/>
  <c r="F441"/>
  <c r="A440"/>
  <c r="F435"/>
  <c r="F433" s="1"/>
  <c r="E435"/>
  <c r="F434"/>
  <c r="E434"/>
  <c r="E433" s="1"/>
  <c r="F432"/>
  <c r="E432"/>
  <c r="F431"/>
  <c r="E431"/>
  <c r="E430" s="1"/>
  <c r="F429"/>
  <c r="E429"/>
  <c r="E427" s="1"/>
  <c r="F428"/>
  <c r="E428"/>
  <c r="F426"/>
  <c r="E426"/>
  <c r="F425"/>
  <c r="E425"/>
  <c r="A423"/>
  <c r="E422"/>
  <c r="E421" s="1"/>
  <c r="F418"/>
  <c r="E418"/>
  <c r="E417" s="1"/>
  <c r="F414"/>
  <c r="E414"/>
  <c r="F411"/>
  <c r="F410" s="1"/>
  <c r="E411"/>
  <c r="E410"/>
  <c r="F409"/>
  <c r="F408" s="1"/>
  <c r="E409"/>
  <c r="E408"/>
  <c r="F407"/>
  <c r="F406" s="1"/>
  <c r="E407"/>
  <c r="E406"/>
  <c r="F405"/>
  <c r="E405"/>
  <c r="D405"/>
  <c r="F404"/>
  <c r="E404"/>
  <c r="E394"/>
  <c r="F389"/>
  <c r="F385"/>
  <c r="E385"/>
  <c r="E382"/>
  <c r="E381"/>
  <c r="E380"/>
  <c r="E379"/>
  <c r="E378" s="1"/>
  <c r="F377"/>
  <c r="E377"/>
  <c r="F376"/>
  <c r="E376"/>
  <c r="F375"/>
  <c r="E375"/>
  <c r="F374"/>
  <c r="E374"/>
  <c r="E373" s="1"/>
  <c r="F372"/>
  <c r="E372"/>
  <c r="F371"/>
  <c r="E371"/>
  <c r="F370"/>
  <c r="E370"/>
  <c r="E369"/>
  <c r="F366"/>
  <c r="F365" s="1"/>
  <c r="E366"/>
  <c r="E365"/>
  <c r="F364"/>
  <c r="F363" s="1"/>
  <c r="F625" s="1"/>
  <c r="E364"/>
  <c r="E363"/>
  <c r="E625"/>
  <c r="F362"/>
  <c r="E362"/>
  <c r="E361"/>
  <c r="F361"/>
  <c r="F360"/>
  <c r="E360"/>
  <c r="E359"/>
  <c r="F359"/>
  <c r="F358"/>
  <c r="E358"/>
  <c r="E357"/>
  <c r="F357"/>
  <c r="F356"/>
  <c r="E356"/>
  <c r="E355"/>
  <c r="F355"/>
  <c r="F354"/>
  <c r="E354"/>
  <c r="E353"/>
  <c r="F353"/>
  <c r="F352"/>
  <c r="E352"/>
  <c r="F351"/>
  <c r="E351"/>
  <c r="E350" s="1"/>
  <c r="F349"/>
  <c r="E349"/>
  <c r="E348" s="1"/>
  <c r="E347"/>
  <c r="E346" s="1"/>
  <c r="F345"/>
  <c r="E345"/>
  <c r="E344" s="1"/>
  <c r="E343"/>
  <c r="E342"/>
  <c r="F341"/>
  <c r="E341"/>
  <c r="E340" s="1"/>
  <c r="E339"/>
  <c r="E338" s="1"/>
  <c r="E337"/>
  <c r="E336" s="1"/>
  <c r="F335"/>
  <c r="E335"/>
  <c r="E334" s="1"/>
  <c r="E624" s="1"/>
  <c r="F333"/>
  <c r="E333"/>
  <c r="E331" s="1"/>
  <c r="F332"/>
  <c r="F330"/>
  <c r="E330"/>
  <c r="D330"/>
  <c r="F326"/>
  <c r="E326"/>
  <c r="F325"/>
  <c r="E325"/>
  <c r="E324" s="1"/>
  <c r="E327" s="1"/>
  <c r="F322"/>
  <c r="E322"/>
  <c r="F321"/>
  <c r="E321"/>
  <c r="F320"/>
  <c r="E320"/>
  <c r="E319" s="1"/>
  <c r="F318"/>
  <c r="E318"/>
  <c r="F317"/>
  <c r="E317"/>
  <c r="F316"/>
  <c r="E316"/>
  <c r="E315"/>
  <c r="E620" s="1"/>
  <c r="F313"/>
  <c r="E313"/>
  <c r="F312"/>
  <c r="E312"/>
  <c r="F308"/>
  <c r="E308"/>
  <c r="F307"/>
  <c r="E307"/>
  <c r="F306"/>
  <c r="E306"/>
  <c r="E305"/>
  <c r="F304"/>
  <c r="E304"/>
  <c r="F303"/>
  <c r="E303"/>
  <c r="E302" s="1"/>
  <c r="F301"/>
  <c r="E301"/>
  <c r="F300"/>
  <c r="E300"/>
  <c r="F299"/>
  <c r="E299"/>
  <c r="F298"/>
  <c r="F297"/>
  <c r="E297"/>
  <c r="F296"/>
  <c r="E296"/>
  <c r="E294" s="1"/>
  <c r="F295"/>
  <c r="E295"/>
  <c r="F293"/>
  <c r="E293"/>
  <c r="F292"/>
  <c r="E292"/>
  <c r="F291"/>
  <c r="E291"/>
  <c r="F290"/>
  <c r="E290"/>
  <c r="F289"/>
  <c r="E289"/>
  <c r="E288" s="1"/>
  <c r="E287"/>
  <c r="E286"/>
  <c r="E285"/>
  <c r="G282"/>
  <c r="G281"/>
  <c r="F279"/>
  <c r="E279"/>
  <c r="F278"/>
  <c r="E278"/>
  <c r="F277"/>
  <c r="E277"/>
  <c r="E276" s="1"/>
  <c r="F273"/>
  <c r="E273"/>
  <c r="F271"/>
  <c r="E271"/>
  <c r="F270"/>
  <c r="E270"/>
  <c r="F269"/>
  <c r="E269"/>
  <c r="E268"/>
  <c r="F267"/>
  <c r="E267"/>
  <c r="F266"/>
  <c r="E266"/>
  <c r="F265"/>
  <c r="F264" s="1"/>
  <c r="E265"/>
  <c r="F263"/>
  <c r="E263"/>
  <c r="F262"/>
  <c r="E262"/>
  <c r="E261"/>
  <c r="E260"/>
  <c r="F259"/>
  <c r="E259"/>
  <c r="F258"/>
  <c r="E258"/>
  <c r="F257"/>
  <c r="E257"/>
  <c r="F256"/>
  <c r="F255"/>
  <c r="E255"/>
  <c r="D255"/>
  <c r="F253"/>
  <c r="E253"/>
  <c r="D253"/>
  <c r="E251"/>
  <c r="D251"/>
  <c r="F243"/>
  <c r="F242"/>
  <c r="E242"/>
  <c r="D241"/>
  <c r="C241"/>
  <c r="F240"/>
  <c r="E240"/>
  <c r="F239"/>
  <c r="E239"/>
  <c r="E238" s="1"/>
  <c r="F237"/>
  <c r="E237"/>
  <c r="F236"/>
  <c r="E236"/>
  <c r="E235" s="1"/>
  <c r="E615" s="1"/>
  <c r="F233"/>
  <c r="E233"/>
  <c r="F231"/>
  <c r="E231"/>
  <c r="F230"/>
  <c r="F229" s="1"/>
  <c r="E230"/>
  <c r="E229"/>
  <c r="F228"/>
  <c r="E228"/>
  <c r="F227"/>
  <c r="F225"/>
  <c r="E225"/>
  <c r="E224"/>
  <c r="E223" s="1"/>
  <c r="F222"/>
  <c r="E222"/>
  <c r="F221"/>
  <c r="E221"/>
  <c r="E220"/>
  <c r="F219"/>
  <c r="F217" s="1"/>
  <c r="E219"/>
  <c r="F218"/>
  <c r="E218"/>
  <c r="E217" s="1"/>
  <c r="F216"/>
  <c r="E216"/>
  <c r="F215"/>
  <c r="E215"/>
  <c r="F214"/>
  <c r="E214"/>
  <c r="F213"/>
  <c r="E213"/>
  <c r="E212" s="1"/>
  <c r="F211"/>
  <c r="E211"/>
  <c r="F210"/>
  <c r="E210"/>
  <c r="E209"/>
  <c r="F208"/>
  <c r="F206" s="1"/>
  <c r="E208"/>
  <c r="F207"/>
  <c r="E207"/>
  <c r="E206" s="1"/>
  <c r="F202"/>
  <c r="E202"/>
  <c r="F201"/>
  <c r="E201"/>
  <c r="E200" s="1"/>
  <c r="F199"/>
  <c r="F198" s="1"/>
  <c r="E199"/>
  <c r="E198" s="1"/>
  <c r="F197"/>
  <c r="E197"/>
  <c r="F196"/>
  <c r="E196"/>
  <c r="E195"/>
  <c r="F194"/>
  <c r="E194"/>
  <c r="E193" s="1"/>
  <c r="F192"/>
  <c r="E192"/>
  <c r="E191"/>
  <c r="E190" s="1"/>
  <c r="F189"/>
  <c r="E189"/>
  <c r="E188"/>
  <c r="F186"/>
  <c r="E186"/>
  <c r="F185"/>
  <c r="E185"/>
  <c r="E184" s="1"/>
  <c r="E614" s="1"/>
  <c r="F183"/>
  <c r="E183"/>
  <c r="D183"/>
  <c r="E181"/>
  <c r="D181"/>
  <c r="F174"/>
  <c r="E174"/>
  <c r="F173"/>
  <c r="E173"/>
  <c r="F172"/>
  <c r="E172"/>
  <c r="E171"/>
  <c r="E610" s="1"/>
  <c r="E169"/>
  <c r="F166"/>
  <c r="E166"/>
  <c r="F165"/>
  <c r="E165"/>
  <c r="F164"/>
  <c r="E164"/>
  <c r="E163" s="1"/>
  <c r="F162"/>
  <c r="E162"/>
  <c r="F161"/>
  <c r="E161"/>
  <c r="F160"/>
  <c r="E160"/>
  <c r="E159"/>
  <c r="F158"/>
  <c r="G156"/>
  <c r="E154"/>
  <c r="F153"/>
  <c r="E153"/>
  <c r="F152"/>
  <c r="E152"/>
  <c r="E151"/>
  <c r="E150"/>
  <c r="F149"/>
  <c r="E149"/>
  <c r="F148"/>
  <c r="E148"/>
  <c r="E147" s="1"/>
  <c r="F146"/>
  <c r="E146"/>
  <c r="F145"/>
  <c r="E145"/>
  <c r="F144"/>
  <c r="E144"/>
  <c r="E143" s="1"/>
  <c r="E609" s="1"/>
  <c r="F142"/>
  <c r="E142"/>
  <c r="F141"/>
  <c r="E141"/>
  <c r="F140"/>
  <c r="E140"/>
  <c r="F138"/>
  <c r="E138"/>
  <c r="F137"/>
  <c r="F130"/>
  <c r="E130"/>
  <c r="E129" s="1"/>
  <c r="F128"/>
  <c r="E128"/>
  <c r="F127"/>
  <c r="E127"/>
  <c r="E126"/>
  <c r="E125"/>
  <c r="F124"/>
  <c r="E124"/>
  <c r="F123"/>
  <c r="E123"/>
  <c r="F122"/>
  <c r="E122"/>
  <c r="E121" s="1"/>
  <c r="F120"/>
  <c r="E120"/>
  <c r="F119"/>
  <c r="E119"/>
  <c r="F118"/>
  <c r="E118"/>
  <c r="E117" s="1"/>
  <c r="F116"/>
  <c r="E116"/>
  <c r="F115"/>
  <c r="E115"/>
  <c r="F114"/>
  <c r="E114"/>
  <c r="E113" s="1"/>
  <c r="E112"/>
  <c r="E111"/>
  <c r="F108"/>
  <c r="E108"/>
  <c r="F107"/>
  <c r="E107"/>
  <c r="F106"/>
  <c r="E106"/>
  <c r="E105" s="1"/>
  <c r="F104"/>
  <c r="E104"/>
  <c r="F103"/>
  <c r="E103"/>
  <c r="F102"/>
  <c r="E102"/>
  <c r="E101"/>
  <c r="F100"/>
  <c r="E100"/>
  <c r="F99"/>
  <c r="E99"/>
  <c r="F98"/>
  <c r="E98"/>
  <c r="F97"/>
  <c r="E97"/>
  <c r="F96"/>
  <c r="E96"/>
  <c r="F95"/>
  <c r="F94" s="1"/>
  <c r="E95"/>
  <c r="E94" s="1"/>
  <c r="F93"/>
  <c r="E93"/>
  <c r="F92"/>
  <c r="E92"/>
  <c r="F91"/>
  <c r="F90" s="1"/>
  <c r="G90" s="1"/>
  <c r="E91"/>
  <c r="E90" s="1"/>
  <c r="F89"/>
  <c r="E89"/>
  <c r="F88"/>
  <c r="E88"/>
  <c r="F87"/>
  <c r="F86" s="1"/>
  <c r="G86" s="1"/>
  <c r="E87"/>
  <c r="E86" s="1"/>
  <c r="F85"/>
  <c r="E85"/>
  <c r="F84"/>
  <c r="E84"/>
  <c r="F83"/>
  <c r="F82" s="1"/>
  <c r="E83"/>
  <c r="E82" s="1"/>
  <c r="F81"/>
  <c r="E81"/>
  <c r="F80"/>
  <c r="E80"/>
  <c r="F79"/>
  <c r="E79"/>
  <c r="F78"/>
  <c r="E78"/>
  <c r="F77"/>
  <c r="E77"/>
  <c r="F76"/>
  <c r="E76"/>
  <c r="E75"/>
  <c r="F72"/>
  <c r="F70"/>
  <c r="E70"/>
  <c r="F69"/>
  <c r="E69"/>
  <c r="F68"/>
  <c r="E68"/>
  <c r="E67"/>
  <c r="F66"/>
  <c r="E66"/>
  <c r="F65"/>
  <c r="E65"/>
  <c r="F64"/>
  <c r="E64"/>
  <c r="E63" s="1"/>
  <c r="E62"/>
  <c r="E61"/>
  <c r="E60"/>
  <c r="F58"/>
  <c r="E58"/>
  <c r="E57"/>
  <c r="F56"/>
  <c r="E56"/>
  <c r="E55"/>
  <c r="F54"/>
  <c r="E54"/>
  <c r="F53"/>
  <c r="E53"/>
  <c r="F52"/>
  <c r="E52"/>
  <c r="E51" s="1"/>
  <c r="E604" s="1"/>
  <c r="E50"/>
  <c r="D50"/>
  <c r="F48"/>
  <c r="E48"/>
  <c r="D48"/>
  <c r="E47"/>
  <c r="E46"/>
  <c r="D46"/>
  <c r="E43"/>
  <c r="G43" s="1"/>
  <c r="D43"/>
  <c r="E41"/>
  <c r="G41"/>
  <c r="D41"/>
  <c r="E39"/>
  <c r="G39"/>
  <c r="D39"/>
  <c r="E38"/>
  <c r="D35"/>
  <c r="D34"/>
  <c r="F33"/>
  <c r="E33"/>
  <c r="E32"/>
  <c r="F31"/>
  <c r="E31"/>
  <c r="E30" s="1"/>
  <c r="F29"/>
  <c r="E29"/>
  <c r="E28" s="1"/>
  <c r="F27"/>
  <c r="E27"/>
  <c r="E26"/>
  <c r="F25"/>
  <c r="E25"/>
  <c r="E24"/>
  <c r="F23"/>
  <c r="E23"/>
  <c r="E22" s="1"/>
  <c r="F21"/>
  <c r="E21"/>
  <c r="E20" s="1"/>
  <c r="F19"/>
  <c r="E19"/>
  <c r="E18"/>
  <c r="F15"/>
  <c r="E15"/>
  <c r="E14"/>
  <c r="F13"/>
  <c r="E13"/>
  <c r="E12" s="1"/>
  <c r="F11"/>
  <c r="E11"/>
  <c r="F10"/>
  <c r="E10"/>
  <c r="F9"/>
  <c r="E9"/>
  <c r="E8" s="1"/>
  <c r="F7"/>
  <c r="E7"/>
  <c r="F6"/>
  <c r="E6"/>
  <c r="E5" s="1"/>
  <c r="F5"/>
  <c r="F4"/>
  <c r="E4"/>
  <c r="E3" s="1"/>
  <c r="F3"/>
  <c r="F487" i="25"/>
  <c r="F442"/>
  <c r="F440"/>
  <c r="F102" i="13"/>
  <c r="F369" i="43"/>
  <c r="F368" s="1"/>
  <c r="F8" i="8"/>
  <c r="D59" i="15"/>
  <c r="F48" i="13"/>
  <c r="F140"/>
  <c r="F477" i="43"/>
  <c r="E539" i="25"/>
  <c r="E537"/>
  <c r="E130" i="17"/>
  <c r="D130"/>
  <c r="E488" i="25"/>
  <c r="G488"/>
  <c r="D488"/>
  <c r="D168" i="8" s="1"/>
  <c r="F111" i="13"/>
  <c r="E111"/>
  <c r="D92" i="7"/>
  <c r="F639" i="25"/>
  <c r="F425"/>
  <c r="F44" i="42"/>
  <c r="F45"/>
  <c r="F46"/>
  <c r="E35"/>
  <c r="E36"/>
  <c r="E37"/>
  <c r="E38"/>
  <c r="E39"/>
  <c r="E40"/>
  <c r="E41"/>
  <c r="E42"/>
  <c r="E43"/>
  <c r="E44"/>
  <c r="E45"/>
  <c r="E46"/>
  <c r="D44"/>
  <c r="D45"/>
  <c r="D35"/>
  <c r="D36"/>
  <c r="D37"/>
  <c r="D38"/>
  <c r="D39"/>
  <c r="D40"/>
  <c r="D41"/>
  <c r="D42"/>
  <c r="D43"/>
  <c r="D34"/>
  <c r="E103"/>
  <c r="E104"/>
  <c r="E105"/>
  <c r="E106"/>
  <c r="E107"/>
  <c r="E108"/>
  <c r="E109"/>
  <c r="E102"/>
  <c r="E92"/>
  <c r="E93"/>
  <c r="E94"/>
  <c r="E95"/>
  <c r="E96"/>
  <c r="E97"/>
  <c r="E98"/>
  <c r="E91"/>
  <c r="E78"/>
  <c r="E79"/>
  <c r="E80"/>
  <c r="E81"/>
  <c r="E82"/>
  <c r="E83"/>
  <c r="E84"/>
  <c r="E85"/>
  <c r="E86"/>
  <c r="E87"/>
  <c r="E77"/>
  <c r="E52"/>
  <c r="E53"/>
  <c r="E54"/>
  <c r="E55"/>
  <c r="E56"/>
  <c r="E57"/>
  <c r="E58"/>
  <c r="E51"/>
  <c r="E8"/>
  <c r="E7"/>
  <c r="F4"/>
  <c r="F3" s="1"/>
  <c r="F5" s="1"/>
  <c r="F10" i="7"/>
  <c r="G112" i="13"/>
  <c r="F66"/>
  <c r="F252" i="43"/>
  <c r="F67" i="13"/>
  <c r="F63"/>
  <c r="F4" i="7"/>
  <c r="F47" i="8"/>
  <c r="F8" i="13"/>
  <c r="F200" i="7"/>
  <c r="F205"/>
  <c r="F513" i="43"/>
  <c r="F192" i="7"/>
  <c r="F99"/>
  <c r="F339" i="43"/>
  <c r="F98" i="7"/>
  <c r="F337" i="43"/>
  <c r="F96" i="7"/>
  <c r="F95"/>
  <c r="F92"/>
  <c r="F329" i="43"/>
  <c r="F77" i="7"/>
  <c r="F67"/>
  <c r="F65"/>
  <c r="F61"/>
  <c r="F8"/>
  <c r="F46" i="43"/>
  <c r="F11" i="7"/>
  <c r="F60" i="43"/>
  <c r="D104" i="39"/>
  <c r="E104" s="1"/>
  <c r="D100"/>
  <c r="E100"/>
  <c r="D91"/>
  <c r="E91" s="1"/>
  <c r="D86"/>
  <c r="E86"/>
  <c r="D81"/>
  <c r="E81" s="1"/>
  <c r="F160" i="17"/>
  <c r="F536" i="43"/>
  <c r="G536" s="1"/>
  <c r="F159" i="17"/>
  <c r="F535" i="43"/>
  <c r="F158" i="17"/>
  <c r="F534" i="43"/>
  <c r="F219" i="25"/>
  <c r="E219"/>
  <c r="G80" i="17"/>
  <c r="G81"/>
  <c r="G82"/>
  <c r="D82"/>
  <c r="D46" i="42"/>
  <c r="C144" i="39"/>
  <c r="D136"/>
  <c r="D137"/>
  <c r="D138"/>
  <c r="E114" i="17"/>
  <c r="D103" i="39"/>
  <c r="E103"/>
  <c r="D109"/>
  <c r="E109" s="1"/>
  <c r="D107"/>
  <c r="E107" s="1"/>
  <c r="D108"/>
  <c r="E464" i="25"/>
  <c r="E465"/>
  <c r="E466"/>
  <c r="D464"/>
  <c r="D123" i="17"/>
  <c r="D85" i="42" s="1"/>
  <c r="D465" i="25"/>
  <c r="D124" i="17"/>
  <c r="D86" i="42"/>
  <c r="E457" i="25"/>
  <c r="E458"/>
  <c r="E459"/>
  <c r="E460"/>
  <c r="E461"/>
  <c r="E462"/>
  <c r="E463"/>
  <c r="D466"/>
  <c r="D125" i="17" s="1"/>
  <c r="D87" i="42" s="1"/>
  <c r="D457" i="25"/>
  <c r="D116" i="17"/>
  <c r="D78" i="42" s="1"/>
  <c r="E108" i="39"/>
  <c r="D463" i="25"/>
  <c r="D122" i="17" s="1"/>
  <c r="D84" i="42" s="1"/>
  <c r="D462" i="25"/>
  <c r="D121" i="17"/>
  <c r="D83" i="42" s="1"/>
  <c r="D461" i="25"/>
  <c r="D120" i="17"/>
  <c r="D82" i="42"/>
  <c r="D460" i="25"/>
  <c r="D119" i="17" s="1"/>
  <c r="D81" i="42" s="1"/>
  <c r="D459" i="25"/>
  <c r="D118" i="17" s="1"/>
  <c r="D80" i="42" s="1"/>
  <c r="D458" i="25"/>
  <c r="D117" i="17"/>
  <c r="D79" i="42" s="1"/>
  <c r="D456" i="25"/>
  <c r="D115" i="17"/>
  <c r="D77" i="42"/>
  <c r="C114" i="39"/>
  <c r="D71"/>
  <c r="E71"/>
  <c r="D70"/>
  <c r="E70" s="1"/>
  <c r="D75"/>
  <c r="E75"/>
  <c r="D65"/>
  <c r="D69" s="1"/>
  <c r="D74" s="1"/>
  <c r="C38"/>
  <c r="C27"/>
  <c r="D146"/>
  <c r="E146"/>
  <c r="C16"/>
  <c r="F209" i="8"/>
  <c r="F53"/>
  <c r="F150" i="43"/>
  <c r="F54" i="8"/>
  <c r="F154" i="43"/>
  <c r="F46" i="8"/>
  <c r="F135" i="43"/>
  <c r="F143" i="25"/>
  <c r="F173" i="8"/>
  <c r="E173"/>
  <c r="F171"/>
  <c r="E171"/>
  <c r="F169"/>
  <c r="E169"/>
  <c r="F11"/>
  <c r="F62" i="43"/>
  <c r="F10" i="8"/>
  <c r="C10" i="41"/>
  <c r="C8"/>
  <c r="C7"/>
  <c r="E754" i="25"/>
  <c r="F42" i="46"/>
  <c r="G141" i="8"/>
  <c r="D141"/>
  <c r="F4" i="46"/>
  <c r="G9" i="15"/>
  <c r="G33"/>
  <c r="G23"/>
  <c r="E601" i="25"/>
  <c r="E602"/>
  <c r="E603"/>
  <c r="F518"/>
  <c r="F517"/>
  <c r="E518"/>
  <c r="E517"/>
  <c r="F492"/>
  <c r="F494"/>
  <c r="F493" s="1"/>
  <c r="G493" s="1"/>
  <c r="F496"/>
  <c r="F501"/>
  <c r="F500"/>
  <c r="E494"/>
  <c r="E493"/>
  <c r="E492"/>
  <c r="E491"/>
  <c r="E490"/>
  <c r="E489"/>
  <c r="E487"/>
  <c r="E486"/>
  <c r="F217"/>
  <c r="F218"/>
  <c r="E216"/>
  <c r="E217"/>
  <c r="E218"/>
  <c r="D216"/>
  <c r="D217"/>
  <c r="D218"/>
  <c r="B37" i="39" s="1"/>
  <c r="F524" i="25"/>
  <c r="G207" i="7"/>
  <c r="G209"/>
  <c r="F208"/>
  <c r="F519" i="43"/>
  <c r="F206" i="7"/>
  <c r="F610" i="25"/>
  <c r="F608" s="1"/>
  <c r="E208" i="7"/>
  <c r="E519" i="43"/>
  <c r="E517"/>
  <c r="E206" i="7"/>
  <c r="E516" i="43"/>
  <c r="D208" i="7"/>
  <c r="C208"/>
  <c r="D206"/>
  <c r="C206"/>
  <c r="G609" i="25"/>
  <c r="F612"/>
  <c r="E612"/>
  <c r="E192" i="7"/>
  <c r="E475" i="43"/>
  <c r="F529" i="25"/>
  <c r="F528"/>
  <c r="F527"/>
  <c r="E528"/>
  <c r="G528"/>
  <c r="E529"/>
  <c r="E527"/>
  <c r="G527"/>
  <c r="F183" i="7"/>
  <c r="D183"/>
  <c r="A187"/>
  <c r="G186"/>
  <c r="G185"/>
  <c r="G184"/>
  <c r="E183"/>
  <c r="E187"/>
  <c r="G179"/>
  <c r="G181"/>
  <c r="F180"/>
  <c r="F178"/>
  <c r="F437" i="43"/>
  <c r="E180" i="7"/>
  <c r="E439" i="43"/>
  <c r="E438"/>
  <c r="E178" i="7"/>
  <c r="E520" i="25"/>
  <c r="E519"/>
  <c r="D179" i="7"/>
  <c r="D180"/>
  <c r="D181"/>
  <c r="D178"/>
  <c r="G177"/>
  <c r="G176"/>
  <c r="F175"/>
  <c r="E175"/>
  <c r="G175"/>
  <c r="E172"/>
  <c r="E169"/>
  <c r="E182"/>
  <c r="E166"/>
  <c r="D163"/>
  <c r="G162"/>
  <c r="F161"/>
  <c r="E161"/>
  <c r="D161"/>
  <c r="E143"/>
  <c r="E477" i="25"/>
  <c r="E141" i="7"/>
  <c r="E392" i="43"/>
  <c r="E475" i="25"/>
  <c r="E139" i="7"/>
  <c r="E389" i="43"/>
  <c r="E472" i="25"/>
  <c r="G472" s="1"/>
  <c r="E137" i="7"/>
  <c r="E386" i="43"/>
  <c r="E469" i="25"/>
  <c r="E95" i="7"/>
  <c r="E332" i="43"/>
  <c r="E403" i="25"/>
  <c r="E92" i="7"/>
  <c r="E329" i="43"/>
  <c r="E400" i="25"/>
  <c r="E64" i="7"/>
  <c r="E250" i="43"/>
  <c r="E321" i="25"/>
  <c r="E61" i="7"/>
  <c r="E60"/>
  <c r="E246" i="43"/>
  <c r="E46" i="7"/>
  <c r="E137" i="43"/>
  <c r="E7" i="7"/>
  <c r="E4"/>
  <c r="E3"/>
  <c r="F7" i="15"/>
  <c r="E180" i="43"/>
  <c r="F4" i="15"/>
  <c r="E50" i="8"/>
  <c r="E139" i="43"/>
  <c r="E198" i="8"/>
  <c r="F534" i="25"/>
  <c r="F535"/>
  <c r="F533"/>
  <c r="E534"/>
  <c r="E535"/>
  <c r="G535" s="1"/>
  <c r="E533"/>
  <c r="A193" i="8"/>
  <c r="D189"/>
  <c r="G192"/>
  <c r="G191"/>
  <c r="G190"/>
  <c r="F189"/>
  <c r="F193"/>
  <c r="E189"/>
  <c r="E193"/>
  <c r="A194"/>
  <c r="F186"/>
  <c r="E186"/>
  <c r="D186"/>
  <c r="G185"/>
  <c r="G184"/>
  <c r="F183"/>
  <c r="E183"/>
  <c r="E106"/>
  <c r="E254" i="43"/>
  <c r="E103" i="8"/>
  <c r="E68"/>
  <c r="E182" i="43"/>
  <c r="E65" i="8"/>
  <c r="E47"/>
  <c r="E15"/>
  <c r="E74" i="43"/>
  <c r="E76" i="25"/>
  <c r="E7" i="8"/>
  <c r="E49" i="43"/>
  <c r="E6" i="8"/>
  <c r="E4"/>
  <c r="E42" i="43"/>
  <c r="F531" i="25"/>
  <c r="F532"/>
  <c r="F530"/>
  <c r="E531"/>
  <c r="E532"/>
  <c r="E530"/>
  <c r="G133" i="13"/>
  <c r="F131"/>
  <c r="E131"/>
  <c r="E135"/>
  <c r="F135"/>
  <c r="G132"/>
  <c r="G134"/>
  <c r="A135"/>
  <c r="D131"/>
  <c r="G127"/>
  <c r="F126"/>
  <c r="E126"/>
  <c r="E420" i="43"/>
  <c r="E419"/>
  <c r="D126" i="13"/>
  <c r="E66"/>
  <c r="E252" i="43"/>
  <c r="E7" i="13"/>
  <c r="E49" i="25"/>
  <c r="E4" i="13"/>
  <c r="E40" i="43"/>
  <c r="E42" i="25"/>
  <c r="E40" i="17"/>
  <c r="G128"/>
  <c r="F127"/>
  <c r="F129"/>
  <c r="E127"/>
  <c r="E442" i="43"/>
  <c r="G442" s="1"/>
  <c r="E129" i="17"/>
  <c r="A129"/>
  <c r="D128"/>
  <c r="D127"/>
  <c r="D153"/>
  <c r="D96" i="42"/>
  <c r="D154" i="17"/>
  <c r="D97" i="42" s="1"/>
  <c r="D155" i="17"/>
  <c r="D98" i="42"/>
  <c r="E103" i="17"/>
  <c r="E86"/>
  <c r="E69"/>
  <c r="D41"/>
  <c r="D7" i="42" s="1"/>
  <c r="E136" i="25"/>
  <c r="E135"/>
  <c r="E112" i="42"/>
  <c r="E653" i="25"/>
  <c r="E651"/>
  <c r="E649"/>
  <c r="E648"/>
  <c r="E647"/>
  <c r="E162" i="17"/>
  <c r="E157"/>
  <c r="E600" i="25"/>
  <c r="E598"/>
  <c r="E143" i="17"/>
  <c r="E145"/>
  <c r="E146"/>
  <c r="E139"/>
  <c r="E547" i="25"/>
  <c r="E138" i="17"/>
  <c r="E137"/>
  <c r="E136"/>
  <c r="E135"/>
  <c r="E133"/>
  <c r="E457" i="43"/>
  <c r="E456"/>
  <c r="E110" i="17"/>
  <c r="E113"/>
  <c r="E314" i="25"/>
  <c r="E73" i="42"/>
  <c r="E312" i="25"/>
  <c r="E311"/>
  <c r="E68" i="42"/>
  <c r="E307" i="25"/>
  <c r="E65" i="42"/>
  <c r="E304" i="25"/>
  <c r="E303"/>
  <c r="E301"/>
  <c r="E300"/>
  <c r="E299"/>
  <c r="E297"/>
  <c r="E296"/>
  <c r="E295"/>
  <c r="E294"/>
  <c r="E83" i="17"/>
  <c r="E30" i="42"/>
  <c r="E27"/>
  <c r="E26"/>
  <c r="E198" i="25"/>
  <c r="E22" i="42"/>
  <c r="E20"/>
  <c r="E191" i="25"/>
  <c r="E187"/>
  <c r="E44" i="17"/>
  <c r="E37"/>
  <c r="E39"/>
  <c r="E34"/>
  <c r="E35" i="43"/>
  <c r="E34" s="1"/>
  <c r="E32" i="17"/>
  <c r="E30"/>
  <c r="E28"/>
  <c r="E26"/>
  <c r="G26"/>
  <c r="E24"/>
  <c r="E22"/>
  <c r="G22"/>
  <c r="E20"/>
  <c r="E18"/>
  <c r="E16"/>
  <c r="E17" i="43"/>
  <c r="E14" i="17"/>
  <c r="E12"/>
  <c r="E8"/>
  <c r="E5"/>
  <c r="E3"/>
  <c r="G3"/>
  <c r="D6" i="44"/>
  <c r="H31" i="7"/>
  <c r="G81" i="13"/>
  <c r="H35"/>
  <c r="E64"/>
  <c r="E63"/>
  <c r="E62"/>
  <c r="E247" i="43"/>
  <c r="F39" i="13"/>
  <c r="F50" i="25"/>
  <c r="F3" i="13"/>
  <c r="F40" i="43"/>
  <c r="G40"/>
  <c r="E112" i="39"/>
  <c r="E111"/>
  <c r="F124" i="17"/>
  <c r="F248" i="25"/>
  <c r="F137" i="17"/>
  <c r="F135"/>
  <c r="F459" i="43"/>
  <c r="A141" i="17"/>
  <c r="G134"/>
  <c r="G140"/>
  <c r="F139"/>
  <c r="F463" i="43"/>
  <c r="F547" i="25"/>
  <c r="F546" s="1"/>
  <c r="F133" i="17"/>
  <c r="F541" i="25"/>
  <c r="F540" s="1"/>
  <c r="D140" i="17"/>
  <c r="D134"/>
  <c r="C135"/>
  <c r="D135"/>
  <c r="D136"/>
  <c r="C137"/>
  <c r="D137"/>
  <c r="D138"/>
  <c r="C139"/>
  <c r="D139"/>
  <c r="D133"/>
  <c r="C133"/>
  <c r="F198" i="8"/>
  <c r="G198"/>
  <c r="G109"/>
  <c r="F10" i="46"/>
  <c r="H10"/>
  <c r="F49" i="8"/>
  <c r="F570" i="25"/>
  <c r="G51" i="13"/>
  <c r="F146" i="25"/>
  <c r="G149" i="7"/>
  <c r="G115" i="13"/>
  <c r="F116"/>
  <c r="F10"/>
  <c r="F57" i="43"/>
  <c r="E508" i="25"/>
  <c r="F66" i="8"/>
  <c r="G153" i="7"/>
  <c r="F28" i="46"/>
  <c r="E511" i="25"/>
  <c r="E512"/>
  <c r="E515"/>
  <c r="F515"/>
  <c r="G515"/>
  <c r="F514"/>
  <c r="E514"/>
  <c r="F511"/>
  <c r="G511"/>
  <c r="F512"/>
  <c r="F509"/>
  <c r="E509"/>
  <c r="G509" s="1"/>
  <c r="F508"/>
  <c r="F507"/>
  <c r="E501"/>
  <c r="A506"/>
  <c r="A523"/>
  <c r="E69" i="7"/>
  <c r="G61"/>
  <c r="F148"/>
  <c r="F146"/>
  <c r="H486" i="25"/>
  <c r="E152" i="7"/>
  <c r="E148"/>
  <c r="E146"/>
  <c r="F166"/>
  <c r="F169"/>
  <c r="G174"/>
  <c r="G173"/>
  <c r="F172"/>
  <c r="G172"/>
  <c r="G171"/>
  <c r="G170"/>
  <c r="G168"/>
  <c r="G167"/>
  <c r="G178" i="8"/>
  <c r="H4" i="13"/>
  <c r="D230" i="25"/>
  <c r="D35"/>
  <c r="D34"/>
  <c r="E752"/>
  <c r="F102" i="8"/>
  <c r="F319" i="25"/>
  <c r="A146" i="17"/>
  <c r="E189" i="7"/>
  <c r="F420" i="25"/>
  <c r="F419"/>
  <c r="F143" i="7"/>
  <c r="F394" i="43"/>
  <c r="F141" i="7"/>
  <c r="F392" i="43"/>
  <c r="F139" i="7"/>
  <c r="F472" i="25"/>
  <c r="F137" i="7"/>
  <c r="G138"/>
  <c r="G140"/>
  <c r="G142"/>
  <c r="G144"/>
  <c r="D56" i="17"/>
  <c r="B13" i="39" s="1"/>
  <c r="G35" i="17"/>
  <c r="F34"/>
  <c r="F35" i="43"/>
  <c r="F34" s="1"/>
  <c r="F35" i="25"/>
  <c r="F34"/>
  <c r="E35"/>
  <c r="E34" s="1"/>
  <c r="G34" s="1"/>
  <c r="C9" i="41"/>
  <c r="F177" i="8"/>
  <c r="G177"/>
  <c r="E177"/>
  <c r="F581" i="25"/>
  <c r="F580"/>
  <c r="G580" s="1"/>
  <c r="E581"/>
  <c r="E580" s="1"/>
  <c r="G147" i="13"/>
  <c r="D26" i="46"/>
  <c r="D28"/>
  <c r="D30"/>
  <c r="D32"/>
  <c r="D34"/>
  <c r="D35"/>
  <c r="D37"/>
  <c r="D38"/>
  <c r="D39"/>
  <c r="D15"/>
  <c r="D16"/>
  <c r="D17"/>
  <c r="D20"/>
  <c r="D22"/>
  <c r="D23"/>
  <c r="D4"/>
  <c r="D5"/>
  <c r="D7"/>
  <c r="D8"/>
  <c r="D9"/>
  <c r="D13"/>
  <c r="E53"/>
  <c r="E49"/>
  <c r="E48"/>
  <c r="E55"/>
  <c r="E54" s="1"/>
  <c r="G54" s="1"/>
  <c r="D162" i="8"/>
  <c r="D161"/>
  <c r="D160"/>
  <c r="D152"/>
  <c r="E51" i="46"/>
  <c r="E50"/>
  <c r="G100" i="8"/>
  <c r="F99"/>
  <c r="F290" i="25"/>
  <c r="E99" i="8"/>
  <c r="E243" i="43"/>
  <c r="E241" s="1"/>
  <c r="F39" i="46"/>
  <c r="F38"/>
  <c r="E39"/>
  <c r="H42"/>
  <c r="E46"/>
  <c r="E45"/>
  <c r="E56"/>
  <c r="F88" i="8"/>
  <c r="F27" i="46"/>
  <c r="F17"/>
  <c r="F16"/>
  <c r="E17"/>
  <c r="E16"/>
  <c r="C16"/>
  <c r="G78" i="8"/>
  <c r="F77"/>
  <c r="E77"/>
  <c r="F61" i="46"/>
  <c r="F60"/>
  <c r="F55"/>
  <c r="F54"/>
  <c r="F53"/>
  <c r="F52" s="1"/>
  <c r="F49"/>
  <c r="F48"/>
  <c r="F8"/>
  <c r="G8" s="1"/>
  <c r="F9"/>
  <c r="H9"/>
  <c r="F13"/>
  <c r="H13" s="1"/>
  <c r="F15"/>
  <c r="H15"/>
  <c r="F18"/>
  <c r="F20"/>
  <c r="H20" s="1"/>
  <c r="F22"/>
  <c r="H22" s="1"/>
  <c r="F23"/>
  <c r="H23" s="1"/>
  <c r="F24"/>
  <c r="F26"/>
  <c r="H26" s="1"/>
  <c r="F30"/>
  <c r="F32"/>
  <c r="F34"/>
  <c r="F35"/>
  <c r="H35" s="1"/>
  <c r="F37"/>
  <c r="E61"/>
  <c r="E60" s="1"/>
  <c r="G60" s="1"/>
  <c r="E42"/>
  <c r="E20"/>
  <c r="E22"/>
  <c r="E23"/>
  <c r="E24"/>
  <c r="E26"/>
  <c r="E28"/>
  <c r="E30"/>
  <c r="E32"/>
  <c r="E34"/>
  <c r="E35"/>
  <c r="G35" s="1"/>
  <c r="E37"/>
  <c r="G37" s="1"/>
  <c r="E8"/>
  <c r="E10"/>
  <c r="E11"/>
  <c r="E13"/>
  <c r="E18"/>
  <c r="A64"/>
  <c r="A63"/>
  <c r="A62"/>
  <c r="D61"/>
  <c r="D60"/>
  <c r="C60"/>
  <c r="G59"/>
  <c r="D59"/>
  <c r="F58"/>
  <c r="E58"/>
  <c r="G58"/>
  <c r="D58"/>
  <c r="C58"/>
  <c r="G57"/>
  <c r="D57"/>
  <c r="F56"/>
  <c r="G56" s="1"/>
  <c r="D56"/>
  <c r="C56"/>
  <c r="D55"/>
  <c r="D54"/>
  <c r="C54"/>
  <c r="D53"/>
  <c r="D52"/>
  <c r="C52"/>
  <c r="D51"/>
  <c r="D50"/>
  <c r="C50"/>
  <c r="D49"/>
  <c r="D48"/>
  <c r="C48"/>
  <c r="A47"/>
  <c r="D46"/>
  <c r="D45"/>
  <c r="C45"/>
  <c r="F43"/>
  <c r="D43"/>
  <c r="D42"/>
  <c r="D41"/>
  <c r="C41"/>
  <c r="B41"/>
  <c r="A41"/>
  <c r="C36"/>
  <c r="C35"/>
  <c r="C33"/>
  <c r="C31"/>
  <c r="C25"/>
  <c r="C24"/>
  <c r="C21"/>
  <c r="C19"/>
  <c r="C18"/>
  <c r="C14"/>
  <c r="C12"/>
  <c r="C11"/>
  <c r="C10"/>
  <c r="C9"/>
  <c r="C6"/>
  <c r="C3"/>
  <c r="B3"/>
  <c r="A3"/>
  <c r="D2"/>
  <c r="C2"/>
  <c r="B2"/>
  <c r="A2"/>
  <c r="G156" i="8"/>
  <c r="F163"/>
  <c r="F468" i="25"/>
  <c r="E468"/>
  <c r="D401"/>
  <c r="E370"/>
  <c r="G176" i="8"/>
  <c r="G179"/>
  <c r="G180"/>
  <c r="F119"/>
  <c r="F287" i="43"/>
  <c r="G25" i="8"/>
  <c r="F22"/>
  <c r="E22"/>
  <c r="F75" i="7"/>
  <c r="F285" i="43"/>
  <c r="F284" s="1"/>
  <c r="E75" i="7"/>
  <c r="E122" i="13"/>
  <c r="E416" i="43"/>
  <c r="E415" s="1"/>
  <c r="F79" i="13"/>
  <c r="F286" i="43"/>
  <c r="F357" i="25"/>
  <c r="E79" i="13"/>
  <c r="G24"/>
  <c r="F22"/>
  <c r="H22"/>
  <c r="E22"/>
  <c r="E17"/>
  <c r="D151" i="17"/>
  <c r="D94" i="42" s="1"/>
  <c r="D152" i="17"/>
  <c r="D95" i="42"/>
  <c r="E37" i="39"/>
  <c r="F79" i="17"/>
  <c r="F43" i="42" s="1"/>
  <c r="E442" i="25"/>
  <c r="E289"/>
  <c r="F287"/>
  <c r="E287"/>
  <c r="F284"/>
  <c r="E284"/>
  <c r="F278"/>
  <c r="E278"/>
  <c r="G278" s="1"/>
  <c r="E277"/>
  <c r="F275"/>
  <c r="E275"/>
  <c r="F272"/>
  <c r="E272"/>
  <c r="F269"/>
  <c r="E269"/>
  <c r="F266"/>
  <c r="E266"/>
  <c r="F263"/>
  <c r="E263"/>
  <c r="F261"/>
  <c r="E261"/>
  <c r="F258"/>
  <c r="E258"/>
  <c r="G258"/>
  <c r="F255"/>
  <c r="E255"/>
  <c r="F249"/>
  <c r="F244"/>
  <c r="E244"/>
  <c r="E239"/>
  <c r="E236"/>
  <c r="F233"/>
  <c r="F230"/>
  <c r="G230" s="1"/>
  <c r="E230"/>
  <c r="E313"/>
  <c r="E203"/>
  <c r="E199"/>
  <c r="E195"/>
  <c r="E163" i="8"/>
  <c r="E401" i="43"/>
  <c r="E400" s="1"/>
  <c r="E160" i="8"/>
  <c r="E157"/>
  <c r="E154"/>
  <c r="E151"/>
  <c r="E44" i="46"/>
  <c r="G44"/>
  <c r="E142" i="8"/>
  <c r="E97"/>
  <c r="E36" i="46"/>
  <c r="E94" i="8"/>
  <c r="E234" i="43"/>
  <c r="E92" i="8"/>
  <c r="E31" i="46"/>
  <c r="E90" i="8"/>
  <c r="E88"/>
  <c r="E27" i="46"/>
  <c r="E86" i="8"/>
  <c r="E25" i="46"/>
  <c r="E82" i="8"/>
  <c r="E21" i="46"/>
  <c r="E80" i="8"/>
  <c r="E19" i="46"/>
  <c r="E15"/>
  <c r="E73" i="8"/>
  <c r="E12" i="46"/>
  <c r="E5"/>
  <c r="F160" i="8"/>
  <c r="G159"/>
  <c r="F157"/>
  <c r="G153"/>
  <c r="F151"/>
  <c r="G164"/>
  <c r="D164"/>
  <c r="D163"/>
  <c r="D159"/>
  <c r="D156"/>
  <c r="D153"/>
  <c r="G145"/>
  <c r="G161"/>
  <c r="D145"/>
  <c r="D142"/>
  <c r="D143"/>
  <c r="D144"/>
  <c r="D149"/>
  <c r="D148"/>
  <c r="G98"/>
  <c r="F97"/>
  <c r="G97"/>
  <c r="G96"/>
  <c r="G95"/>
  <c r="F94"/>
  <c r="G93"/>
  <c r="F92"/>
  <c r="F31" i="46"/>
  <c r="H31" s="1"/>
  <c r="G91" i="8"/>
  <c r="F90"/>
  <c r="F29" i="46"/>
  <c r="H29" s="1"/>
  <c r="G89" i="8"/>
  <c r="G87"/>
  <c r="F86"/>
  <c r="G85"/>
  <c r="G84"/>
  <c r="G83"/>
  <c r="F82"/>
  <c r="D97"/>
  <c r="D36" i="46" s="1"/>
  <c r="D94" i="8"/>
  <c r="D33" i="46"/>
  <c r="D92" i="8"/>
  <c r="D31" i="46" s="1"/>
  <c r="D90" i="8"/>
  <c r="D29" i="46"/>
  <c r="D88" i="8"/>
  <c r="D27" i="46" s="1"/>
  <c r="D86" i="8"/>
  <c r="D25" i="46"/>
  <c r="D85" i="8"/>
  <c r="D24" i="46" s="1"/>
  <c r="D82" i="8"/>
  <c r="D21" i="46"/>
  <c r="G81" i="8"/>
  <c r="F80"/>
  <c r="F19" i="46"/>
  <c r="G79" i="8"/>
  <c r="G74"/>
  <c r="F73"/>
  <c r="G69"/>
  <c r="D73"/>
  <c r="D12" i="46" s="1"/>
  <c r="D80" i="8"/>
  <c r="D19" i="46"/>
  <c r="D18"/>
  <c r="D75" i="8"/>
  <c r="D14" i="46" s="1"/>
  <c r="D72" i="8"/>
  <c r="D11" i="46"/>
  <c r="D71" i="8"/>
  <c r="D10" i="46" s="1"/>
  <c r="D67" i="8"/>
  <c r="D6" i="46"/>
  <c r="D64" i="8"/>
  <c r="D3" i="46" s="1"/>
  <c r="A102" i="8"/>
  <c r="B102"/>
  <c r="C102"/>
  <c r="D102"/>
  <c r="C105"/>
  <c r="D105"/>
  <c r="G107"/>
  <c r="C108"/>
  <c r="G108"/>
  <c r="C109"/>
  <c r="D109"/>
  <c r="E334" i="25"/>
  <c r="C110" i="8"/>
  <c r="D110"/>
  <c r="C111"/>
  <c r="D111"/>
  <c r="E111"/>
  <c r="F111"/>
  <c r="G111"/>
  <c r="G112"/>
  <c r="D113"/>
  <c r="E113"/>
  <c r="F113"/>
  <c r="F275" i="43"/>
  <c r="G114" i="8"/>
  <c r="C115"/>
  <c r="D115"/>
  <c r="E115"/>
  <c r="F115"/>
  <c r="G115"/>
  <c r="G116"/>
  <c r="E223" i="7"/>
  <c r="E220"/>
  <c r="E227"/>
  <c r="E217"/>
  <c r="E214"/>
  <c r="E529" i="43"/>
  <c r="E212" i="7"/>
  <c r="E210"/>
  <c r="E204"/>
  <c r="E200"/>
  <c r="E197"/>
  <c r="E191"/>
  <c r="E163"/>
  <c r="E159"/>
  <c r="G159"/>
  <c r="E157"/>
  <c r="E154"/>
  <c r="E150"/>
  <c r="E132"/>
  <c r="E128"/>
  <c r="E124"/>
  <c r="E121"/>
  <c r="E118"/>
  <c r="E115"/>
  <c r="E113"/>
  <c r="E109"/>
  <c r="E106"/>
  <c r="E104"/>
  <c r="E102"/>
  <c r="E100"/>
  <c r="E408" i="25"/>
  <c r="E407" s="1"/>
  <c r="E94" i="7"/>
  <c r="E88"/>
  <c r="E85"/>
  <c r="E83"/>
  <c r="E81"/>
  <c r="E73"/>
  <c r="E71"/>
  <c r="E56"/>
  <c r="E53"/>
  <c r="E51"/>
  <c r="E39"/>
  <c r="E36"/>
  <c r="E34"/>
  <c r="E32"/>
  <c r="E110" i="43"/>
  <c r="E109" s="1"/>
  <c r="E30" i="7"/>
  <c r="E26"/>
  <c r="E24"/>
  <c r="E22"/>
  <c r="E20"/>
  <c r="E17"/>
  <c r="E15"/>
  <c r="E72" i="43"/>
  <c r="E13" i="7"/>
  <c r="F64" i="15"/>
  <c r="F62"/>
  <c r="E482" i="25"/>
  <c r="E481" s="1"/>
  <c r="F60" i="15"/>
  <c r="E397" i="43"/>
  <c r="E396" s="1"/>
  <c r="E480" i="25"/>
  <c r="E479" s="1"/>
  <c r="F58" i="15"/>
  <c r="F56"/>
  <c r="E391" i="43"/>
  <c r="E474" i="25"/>
  <c r="F54" i="15"/>
  <c r="E388" i="43"/>
  <c r="E387" s="1"/>
  <c r="E471" i="25"/>
  <c r="F52" i="15"/>
  <c r="F47"/>
  <c r="F45"/>
  <c r="F42"/>
  <c r="F40"/>
  <c r="F37"/>
  <c r="F35"/>
  <c r="F33"/>
  <c r="F31"/>
  <c r="E271" i="25"/>
  <c r="F29" i="15"/>
  <c r="F25"/>
  <c r="F23"/>
  <c r="F20"/>
  <c r="E204" i="43"/>
  <c r="F18" i="15"/>
  <c r="F16"/>
  <c r="F14"/>
  <c r="E223" i="8"/>
  <c r="E220"/>
  <c r="E226"/>
  <c r="E217"/>
  <c r="E214"/>
  <c r="E212"/>
  <c r="E210"/>
  <c r="E206"/>
  <c r="E505" i="43"/>
  <c r="E203" i="8"/>
  <c r="E181"/>
  <c r="E175"/>
  <c r="E166"/>
  <c r="E135"/>
  <c r="E132"/>
  <c r="E314" i="43"/>
  <c r="E130" i="8"/>
  <c r="E128"/>
  <c r="E126"/>
  <c r="E123"/>
  <c r="E119"/>
  <c r="E117"/>
  <c r="E283" i="43"/>
  <c r="E280" s="1"/>
  <c r="E60" i="8"/>
  <c r="E170" i="43"/>
  <c r="E57" i="8"/>
  <c r="E55"/>
  <c r="E158" i="43"/>
  <c r="E155" s="1"/>
  <c r="G48" i="8"/>
  <c r="E43"/>
  <c r="E41"/>
  <c r="E38"/>
  <c r="E36"/>
  <c r="E34"/>
  <c r="E32"/>
  <c r="E28"/>
  <c r="E26"/>
  <c r="E20"/>
  <c r="E17"/>
  <c r="E13"/>
  <c r="E45" i="25"/>
  <c r="G45" s="1"/>
  <c r="E168" i="13"/>
  <c r="E165"/>
  <c r="E171"/>
  <c r="E162"/>
  <c r="E164"/>
  <c r="E159"/>
  <c r="E157"/>
  <c r="G157"/>
  <c r="E155"/>
  <c r="E522" i="43"/>
  <c r="E161" i="13"/>
  <c r="E153"/>
  <c r="E149"/>
  <c r="E504" i="43"/>
  <c r="E145" i="13"/>
  <c r="E139"/>
  <c r="E137"/>
  <c r="E472" i="43"/>
  <c r="E128" i="13"/>
  <c r="E120"/>
  <c r="E118"/>
  <c r="E116"/>
  <c r="E59" i="25"/>
  <c r="E114" i="13"/>
  <c r="G111"/>
  <c r="E104"/>
  <c r="E101"/>
  <c r="E98"/>
  <c r="E95"/>
  <c r="E93"/>
  <c r="E310" i="43"/>
  <c r="E309" s="1"/>
  <c r="E91" i="13"/>
  <c r="E89"/>
  <c r="E87"/>
  <c r="E83"/>
  <c r="E77"/>
  <c r="E73"/>
  <c r="E71"/>
  <c r="E58"/>
  <c r="E177" i="25"/>
  <c r="E55" i="13"/>
  <c r="E53"/>
  <c r="E157" i="43"/>
  <c r="E47" i="13"/>
  <c r="E38"/>
  <c r="E36"/>
  <c r="E34"/>
  <c r="E28"/>
  <c r="E26"/>
  <c r="E20"/>
  <c r="E15"/>
  <c r="E73" i="43"/>
  <c r="E13" i="13"/>
  <c r="C22" i="44"/>
  <c r="D11"/>
  <c r="B40" i="39"/>
  <c r="B41"/>
  <c r="B42"/>
  <c r="B43"/>
  <c r="B39"/>
  <c r="E208" i="25"/>
  <c r="E210"/>
  <c r="E212"/>
  <c r="E214"/>
  <c r="D208"/>
  <c r="B29" i="39"/>
  <c r="D209" i="25"/>
  <c r="B30" i="39" s="1"/>
  <c r="D210" i="25"/>
  <c r="B31" i="39"/>
  <c r="D211" i="25"/>
  <c r="B32" i="39" s="1"/>
  <c r="D212" i="25"/>
  <c r="B33" i="39"/>
  <c r="D213" i="25"/>
  <c r="B34" i="39" s="1"/>
  <c r="D214" i="25"/>
  <c r="B35" i="39"/>
  <c r="D215" i="25"/>
  <c r="B36" i="39" s="1"/>
  <c r="E34"/>
  <c r="F76" i="17"/>
  <c r="F40" i="42" s="1"/>
  <c r="E35" i="39"/>
  <c r="F77" i="17"/>
  <c r="G77"/>
  <c r="F41" i="42"/>
  <c r="E36" i="39"/>
  <c r="F78" i="17"/>
  <c r="F215" i="25"/>
  <c r="F48" i="42"/>
  <c r="F47" s="1"/>
  <c r="G47" s="1"/>
  <c r="E48"/>
  <c r="E47"/>
  <c r="E25"/>
  <c r="E19"/>
  <c r="E17"/>
  <c r="E15"/>
  <c r="E13"/>
  <c r="F10"/>
  <c r="F9"/>
  <c r="E10"/>
  <c r="E9" s="1"/>
  <c r="D4" i="40"/>
  <c r="E4"/>
  <c r="D3"/>
  <c r="E6"/>
  <c r="E52" i="39"/>
  <c r="F94" i="17"/>
  <c r="F195" i="8"/>
  <c r="F473" i="43"/>
  <c r="F557" i="25"/>
  <c r="F427"/>
  <c r="D180" i="17"/>
  <c r="B132" i="39" s="1"/>
  <c r="E126"/>
  <c r="F175" i="17"/>
  <c r="F108" i="42" s="1"/>
  <c r="D170" i="17"/>
  <c r="D171"/>
  <c r="D172"/>
  <c r="D173"/>
  <c r="D174"/>
  <c r="D175"/>
  <c r="D176"/>
  <c r="D128" i="39"/>
  <c r="E128"/>
  <c r="G128"/>
  <c r="B128"/>
  <c r="D150" i="17"/>
  <c r="D93" i="42" s="1"/>
  <c r="D149" i="17"/>
  <c r="D92" i="42"/>
  <c r="D53" i="39"/>
  <c r="C133"/>
  <c r="C129"/>
  <c r="C26" i="40"/>
  <c r="C15"/>
  <c r="D17"/>
  <c r="E3"/>
  <c r="D66" i="39"/>
  <c r="E66" s="1"/>
  <c r="C61"/>
  <c r="C44"/>
  <c r="E29"/>
  <c r="F71" i="17"/>
  <c r="F35" i="42" s="1"/>
  <c r="E17" i="39"/>
  <c r="F59" i="17"/>
  <c r="F23" i="42" s="1"/>
  <c r="D19" i="39"/>
  <c r="E19"/>
  <c r="F61" i="17"/>
  <c r="F25" i="42" s="1"/>
  <c r="G25" s="1"/>
  <c r="D20" i="39"/>
  <c r="E20"/>
  <c r="F62" i="17"/>
  <c r="F26" i="42" s="1"/>
  <c r="D21" i="39"/>
  <c r="E21"/>
  <c r="F63" i="17"/>
  <c r="D22" i="39"/>
  <c r="E22"/>
  <c r="F64" i="17"/>
  <c r="D23" i="39"/>
  <c r="E23"/>
  <c r="D24"/>
  <c r="E24"/>
  <c r="D25"/>
  <c r="E25"/>
  <c r="D26"/>
  <c r="E26"/>
  <c r="D18"/>
  <c r="E18"/>
  <c r="E298" i="25"/>
  <c r="D101" i="17"/>
  <c r="B59" i="39"/>
  <c r="D102" i="17"/>
  <c r="B60" i="39" s="1"/>
  <c r="D92" i="17"/>
  <c r="D93"/>
  <c r="D207" i="25"/>
  <c r="B28" i="39" s="1"/>
  <c r="D83" i="17"/>
  <c r="F23" i="25"/>
  <c r="F3" i="17"/>
  <c r="F32"/>
  <c r="F30"/>
  <c r="G30"/>
  <c r="F28"/>
  <c r="F26"/>
  <c r="F24"/>
  <c r="F22"/>
  <c r="F20"/>
  <c r="F18"/>
  <c r="F16"/>
  <c r="F14"/>
  <c r="G14"/>
  <c r="F12"/>
  <c r="F12" i="25"/>
  <c r="F8" i="17"/>
  <c r="G8"/>
  <c r="F5"/>
  <c r="F401" i="25"/>
  <c r="F85" i="7"/>
  <c r="H85"/>
  <c r="F423" i="25"/>
  <c r="H8" i="15"/>
  <c r="G54"/>
  <c r="G197" i="8"/>
  <c r="G152"/>
  <c r="G155"/>
  <c r="G158"/>
  <c r="G162"/>
  <c r="D158"/>
  <c r="D155"/>
  <c r="F189" i="7"/>
  <c r="F471" i="43"/>
  <c r="G44" i="7"/>
  <c r="H5" i="15"/>
  <c r="D43" i="25"/>
  <c r="D41"/>
  <c r="D45"/>
  <c r="F642"/>
  <c r="F643"/>
  <c r="F102"/>
  <c r="F497"/>
  <c r="H21" i="15"/>
  <c r="G20"/>
  <c r="D20"/>
  <c r="D67" i="17"/>
  <c r="B25" i="39"/>
  <c r="D68" i="17"/>
  <c r="B26" i="39"/>
  <c r="E189" i="25"/>
  <c r="E200"/>
  <c r="G161" i="17"/>
  <c r="F631" i="25"/>
  <c r="E631"/>
  <c r="F157" i="17"/>
  <c r="H157"/>
  <c r="A156"/>
  <c r="D148"/>
  <c r="D91" i="42"/>
  <c r="C147" i="17"/>
  <c r="D147"/>
  <c r="G17"/>
  <c r="D17"/>
  <c r="D16"/>
  <c r="C16"/>
  <c r="G6"/>
  <c r="D94"/>
  <c r="D95"/>
  <c r="B53" i="39"/>
  <c r="D96" i="17"/>
  <c r="B54" i="39"/>
  <c r="D97" i="17"/>
  <c r="B55" i="39"/>
  <c r="D98" i="17"/>
  <c r="B56" i="39"/>
  <c r="D99" i="17"/>
  <c r="B57" i="39"/>
  <c r="D100" i="17"/>
  <c r="B58" i="39"/>
  <c r="D105" i="17"/>
  <c r="D71" i="42"/>
  <c r="D106" i="17"/>
  <c r="D72" i="42"/>
  <c r="D107" i="17"/>
  <c r="D73" i="42"/>
  <c r="D108" i="17"/>
  <c r="D74" i="42"/>
  <c r="D104" i="17"/>
  <c r="D70" i="42"/>
  <c r="D51" i="17"/>
  <c r="B8" i="39"/>
  <c r="D52" i="17"/>
  <c r="B9" i="39"/>
  <c r="D53" i="17"/>
  <c r="B10" i="39"/>
  <c r="D54" i="17"/>
  <c r="B11" i="39"/>
  <c r="D55" i="17"/>
  <c r="B12" i="39"/>
  <c r="D57" i="17"/>
  <c r="B14" i="39"/>
  <c r="D58" i="17"/>
  <c r="B15" i="39"/>
  <c r="D59" i="17"/>
  <c r="B17" i="39"/>
  <c r="D60" i="17"/>
  <c r="B18" i="39"/>
  <c r="D61" i="17"/>
  <c r="B19" i="39"/>
  <c r="D62" i="17"/>
  <c r="B20" i="39"/>
  <c r="D63" i="17"/>
  <c r="B21" i="39"/>
  <c r="D64" i="17"/>
  <c r="B22" i="39"/>
  <c r="D65" i="17"/>
  <c r="B23" i="39"/>
  <c r="D66" i="17"/>
  <c r="B24" i="39"/>
  <c r="G38" i="17"/>
  <c r="F37"/>
  <c r="F39"/>
  <c r="A39"/>
  <c r="D38"/>
  <c r="D4" i="42"/>
  <c r="D37" i="17"/>
  <c r="E420" i="25"/>
  <c r="E419" s="1"/>
  <c r="E422"/>
  <c r="E423"/>
  <c r="E425"/>
  <c r="E424" s="1"/>
  <c r="E427"/>
  <c r="E426" s="1"/>
  <c r="E429"/>
  <c r="E428" s="1"/>
  <c r="E431"/>
  <c r="E433"/>
  <c r="E432" s="1"/>
  <c r="E435"/>
  <c r="E434" s="1"/>
  <c r="E745" s="1"/>
  <c r="E437"/>
  <c r="E436"/>
  <c r="E440"/>
  <c r="E441"/>
  <c r="G107" i="7"/>
  <c r="F106"/>
  <c r="D106"/>
  <c r="C106"/>
  <c r="G52"/>
  <c r="F51"/>
  <c r="G51"/>
  <c r="D51"/>
  <c r="C51"/>
  <c r="G118" i="8"/>
  <c r="F117"/>
  <c r="F283" i="43"/>
  <c r="F280" s="1"/>
  <c r="D117" i="8"/>
  <c r="C117"/>
  <c r="G78" i="13"/>
  <c r="F77"/>
  <c r="D77"/>
  <c r="C77"/>
  <c r="G352" i="25"/>
  <c r="G353"/>
  <c r="G164"/>
  <c r="G54" i="13"/>
  <c r="F53"/>
  <c r="D53"/>
  <c r="C53"/>
  <c r="F85" i="25"/>
  <c r="F87"/>
  <c r="F86"/>
  <c r="E87"/>
  <c r="E86"/>
  <c r="E85"/>
  <c r="G21" i="7"/>
  <c r="F20"/>
  <c r="G20"/>
  <c r="D20"/>
  <c r="C20"/>
  <c r="G21" i="8"/>
  <c r="F20"/>
  <c r="G20"/>
  <c r="D20"/>
  <c r="C20"/>
  <c r="G21" i="13"/>
  <c r="F20"/>
  <c r="D20"/>
  <c r="C20"/>
  <c r="G58" i="15"/>
  <c r="F395" i="43"/>
  <c r="G56" i="15"/>
  <c r="F474" i="25"/>
  <c r="H53" i="15"/>
  <c r="H55"/>
  <c r="H57"/>
  <c r="H59"/>
  <c r="H61"/>
  <c r="H63"/>
  <c r="H65"/>
  <c r="G64"/>
  <c r="G62"/>
  <c r="F399" i="43"/>
  <c r="F482" i="25"/>
  <c r="F481"/>
  <c r="G60" i="15"/>
  <c r="G52"/>
  <c r="G4"/>
  <c r="A66"/>
  <c r="C64"/>
  <c r="C54"/>
  <c r="C56"/>
  <c r="C58"/>
  <c r="C60"/>
  <c r="C62"/>
  <c r="C52"/>
  <c r="D53"/>
  <c r="D54"/>
  <c r="D55"/>
  <c r="D56"/>
  <c r="D57"/>
  <c r="D58"/>
  <c r="D60"/>
  <c r="D61"/>
  <c r="D62"/>
  <c r="D63"/>
  <c r="D64"/>
  <c r="D65"/>
  <c r="D52"/>
  <c r="A67"/>
  <c r="A68"/>
  <c r="F10" i="25"/>
  <c r="G10"/>
  <c r="E10"/>
  <c r="E55" i="15"/>
  <c r="E54"/>
  <c r="E53"/>
  <c r="E52"/>
  <c r="F4" i="25"/>
  <c r="F3" s="1"/>
  <c r="F6"/>
  <c r="F7"/>
  <c r="F9"/>
  <c r="F11"/>
  <c r="F13"/>
  <c r="F19"/>
  <c r="F18"/>
  <c r="F21"/>
  <c r="F20"/>
  <c r="F25"/>
  <c r="F27"/>
  <c r="F26" s="1"/>
  <c r="F29"/>
  <c r="G29" s="1"/>
  <c r="F31"/>
  <c r="F30"/>
  <c r="F33"/>
  <c r="F32"/>
  <c r="E4"/>
  <c r="E3"/>
  <c r="E7"/>
  <c r="E9"/>
  <c r="E11"/>
  <c r="G11" s="1"/>
  <c r="E13"/>
  <c r="E12" s="1"/>
  <c r="G12" s="1"/>
  <c r="E15"/>
  <c r="E19"/>
  <c r="E18" s="1"/>
  <c r="E21"/>
  <c r="E20" s="1"/>
  <c r="E23"/>
  <c r="E22" s="1"/>
  <c r="E25"/>
  <c r="E24" s="1"/>
  <c r="E27"/>
  <c r="E26" s="1"/>
  <c r="E29"/>
  <c r="E28"/>
  <c r="E31"/>
  <c r="E30"/>
  <c r="E33"/>
  <c r="G33" i="17"/>
  <c r="G31"/>
  <c r="G29"/>
  <c r="G27"/>
  <c r="G25"/>
  <c r="G23"/>
  <c r="G21"/>
  <c r="G19"/>
  <c r="F15" i="25"/>
  <c r="F14" s="1"/>
  <c r="G13" i="17"/>
  <c r="G11"/>
  <c r="G10"/>
  <c r="G9"/>
  <c r="G7"/>
  <c r="G4"/>
  <c r="A36"/>
  <c r="C5"/>
  <c r="C8"/>
  <c r="C10"/>
  <c r="C11"/>
  <c r="C12"/>
  <c r="C14"/>
  <c r="C18"/>
  <c r="C20"/>
  <c r="C22"/>
  <c r="C24"/>
  <c r="C26"/>
  <c r="C28"/>
  <c r="C30"/>
  <c r="C32"/>
  <c r="B3"/>
  <c r="C3"/>
  <c r="A3"/>
  <c r="D4"/>
  <c r="D5"/>
  <c r="D6"/>
  <c r="D7"/>
  <c r="D8"/>
  <c r="D9"/>
  <c r="D10"/>
  <c r="D11"/>
  <c r="D12"/>
  <c r="D13"/>
  <c r="D14"/>
  <c r="D15"/>
  <c r="D18"/>
  <c r="D19"/>
  <c r="D20"/>
  <c r="D21"/>
  <c r="D22"/>
  <c r="D23"/>
  <c r="D24"/>
  <c r="D25"/>
  <c r="D26"/>
  <c r="D27"/>
  <c r="D28"/>
  <c r="D29"/>
  <c r="D30"/>
  <c r="D31"/>
  <c r="D32"/>
  <c r="D33"/>
  <c r="D3"/>
  <c r="E639" i="25"/>
  <c r="F638"/>
  <c r="F637" s="1"/>
  <c r="E638"/>
  <c r="E637" s="1"/>
  <c r="G221" i="7"/>
  <c r="G222"/>
  <c r="F220"/>
  <c r="D222"/>
  <c r="D221"/>
  <c r="D220"/>
  <c r="G221" i="8"/>
  <c r="G222"/>
  <c r="F220"/>
  <c r="D222"/>
  <c r="D221"/>
  <c r="D220"/>
  <c r="D165" i="13"/>
  <c r="G166"/>
  <c r="G167"/>
  <c r="F165"/>
  <c r="G165"/>
  <c r="F635" i="25"/>
  <c r="G635"/>
  <c r="E635"/>
  <c r="F629"/>
  <c r="F630"/>
  <c r="F628"/>
  <c r="E629"/>
  <c r="E630"/>
  <c r="E628"/>
  <c r="E643"/>
  <c r="E642"/>
  <c r="E641"/>
  <c r="A227" i="7"/>
  <c r="D223"/>
  <c r="G218"/>
  <c r="F217"/>
  <c r="F219"/>
  <c r="A219"/>
  <c r="F217" i="8"/>
  <c r="G217"/>
  <c r="G218"/>
  <c r="A226"/>
  <c r="A219"/>
  <c r="D223"/>
  <c r="D168" i="13"/>
  <c r="D159" i="17"/>
  <c r="D160"/>
  <c r="D158"/>
  <c r="A171" i="13"/>
  <c r="G163"/>
  <c r="F162"/>
  <c r="F164"/>
  <c r="A164"/>
  <c r="B165"/>
  <c r="E131" i="39"/>
  <c r="F179" i="17"/>
  <c r="E132" i="39"/>
  <c r="F180" i="17"/>
  <c r="F658" i="25" s="1"/>
  <c r="E120" i="39"/>
  <c r="F169" i="17"/>
  <c r="G169"/>
  <c r="D121" i="39"/>
  <c r="E121"/>
  <c r="D122"/>
  <c r="E122"/>
  <c r="D123"/>
  <c r="E123"/>
  <c r="F172" i="17"/>
  <c r="F105" i="42"/>
  <c r="G105" s="1"/>
  <c r="D124" i="39"/>
  <c r="E124"/>
  <c r="F173" i="17"/>
  <c r="F651" i="25" s="1"/>
  <c r="E125" i="39"/>
  <c r="F174" i="17"/>
  <c r="G174"/>
  <c r="D127" i="39"/>
  <c r="E127"/>
  <c r="F176" i="17"/>
  <c r="E2" i="39"/>
  <c r="E3"/>
  <c r="F43" i="17"/>
  <c r="G43" s="1"/>
  <c r="E28" i="39"/>
  <c r="F70" i="17"/>
  <c r="F34" i="42" s="1"/>
  <c r="E30" i="39"/>
  <c r="F72" i="17"/>
  <c r="F209" i="25"/>
  <c r="E31" i="39"/>
  <c r="F73" i="17"/>
  <c r="F37" i="42"/>
  <c r="G37"/>
  <c r="E32" i="39"/>
  <c r="F74" i="17"/>
  <c r="F38" i="42"/>
  <c r="E33" i="39"/>
  <c r="F75" i="17"/>
  <c r="F39" i="42" s="1"/>
  <c r="G39" s="1"/>
  <c r="E39" i="39"/>
  <c r="F104" i="17"/>
  <c r="E40" i="39"/>
  <c r="F105" i="17"/>
  <c r="E41" i="39"/>
  <c r="F106" i="17"/>
  <c r="G106" s="1"/>
  <c r="F312" i="25"/>
  <c r="E42" i="39"/>
  <c r="F107" i="17"/>
  <c r="E43" i="39"/>
  <c r="F108" i="17"/>
  <c r="C4" i="39"/>
  <c r="F406" i="25"/>
  <c r="F435"/>
  <c r="F434"/>
  <c r="F324"/>
  <c r="F337"/>
  <c r="F328"/>
  <c r="F329"/>
  <c r="F330"/>
  <c r="F387"/>
  <c r="F388"/>
  <c r="F389"/>
  <c r="G389" s="1"/>
  <c r="F232"/>
  <c r="F283"/>
  <c r="F148"/>
  <c r="F149"/>
  <c r="F150"/>
  <c r="F161"/>
  <c r="F152"/>
  <c r="F153"/>
  <c r="G153" s="1"/>
  <c r="F154"/>
  <c r="F180"/>
  <c r="F181"/>
  <c r="F182"/>
  <c r="F179" s="1"/>
  <c r="F54"/>
  <c r="F55"/>
  <c r="F56"/>
  <c r="G56" s="1"/>
  <c r="F124"/>
  <c r="F123" s="1"/>
  <c r="F125"/>
  <c r="F126"/>
  <c r="F221"/>
  <c r="F220"/>
  <c r="F66"/>
  <c r="F67"/>
  <c r="F68"/>
  <c r="F70"/>
  <c r="F71"/>
  <c r="F72"/>
  <c r="F78"/>
  <c r="F80"/>
  <c r="F81"/>
  <c r="F82"/>
  <c r="F83"/>
  <c r="F89"/>
  <c r="F90"/>
  <c r="F91"/>
  <c r="F93"/>
  <c r="F94"/>
  <c r="F95"/>
  <c r="F98"/>
  <c r="F99"/>
  <c r="F104"/>
  <c r="F106"/>
  <c r="F108"/>
  <c r="G108" s="1"/>
  <c r="F116"/>
  <c r="F117"/>
  <c r="F118"/>
  <c r="F120"/>
  <c r="F122"/>
  <c r="F132"/>
  <c r="F340"/>
  <c r="F341"/>
  <c r="F342"/>
  <c r="F344"/>
  <c r="F348"/>
  <c r="F349"/>
  <c r="F361"/>
  <c r="G361" s="1"/>
  <c r="F362"/>
  <c r="G362" s="1"/>
  <c r="F366"/>
  <c r="F367"/>
  <c r="G367" s="1"/>
  <c r="F368"/>
  <c r="F370"/>
  <c r="F371"/>
  <c r="F374"/>
  <c r="F375"/>
  <c r="F377"/>
  <c r="F379"/>
  <c r="F383"/>
  <c r="F384"/>
  <c r="F393"/>
  <c r="G393" s="1"/>
  <c r="F412"/>
  <c r="F411"/>
  <c r="F416"/>
  <c r="F415" s="1"/>
  <c r="F422"/>
  <c r="F429"/>
  <c r="F428" s="1"/>
  <c r="G428" s="1"/>
  <c r="F431"/>
  <c r="F433"/>
  <c r="G433" s="1"/>
  <c r="F437"/>
  <c r="F436"/>
  <c r="F560"/>
  <c r="F562"/>
  <c r="F565"/>
  <c r="F566"/>
  <c r="F567"/>
  <c r="F574"/>
  <c r="F577"/>
  <c r="F578"/>
  <c r="F579"/>
  <c r="F583"/>
  <c r="F584"/>
  <c r="F585"/>
  <c r="F587"/>
  <c r="G587" s="1"/>
  <c r="F592"/>
  <c r="F593"/>
  <c r="F396"/>
  <c r="F441"/>
  <c r="F443"/>
  <c r="F445"/>
  <c r="F446"/>
  <c r="F447"/>
  <c r="G447" s="1"/>
  <c r="F139"/>
  <c r="F138"/>
  <c r="F166"/>
  <c r="F163"/>
  <c r="F168"/>
  <c r="F169"/>
  <c r="F170"/>
  <c r="G170" s="1"/>
  <c r="F172"/>
  <c r="G172" s="1"/>
  <c r="F173"/>
  <c r="F174"/>
  <c r="F241"/>
  <c r="F240"/>
  <c r="F243"/>
  <c r="F246"/>
  <c r="F245"/>
  <c r="F257"/>
  <c r="F260"/>
  <c r="F262"/>
  <c r="F259" s="1"/>
  <c r="F265"/>
  <c r="F264" s="1"/>
  <c r="F268"/>
  <c r="F277"/>
  <c r="F276" s="1"/>
  <c r="G277"/>
  <c r="F280"/>
  <c r="F286"/>
  <c r="F289"/>
  <c r="G289"/>
  <c r="F551"/>
  <c r="F606"/>
  <c r="G606" s="1"/>
  <c r="F607"/>
  <c r="F615"/>
  <c r="F617"/>
  <c r="F619"/>
  <c r="F620"/>
  <c r="F621"/>
  <c r="F624"/>
  <c r="F633"/>
  <c r="F634"/>
  <c r="G634" s="1"/>
  <c r="F83" i="17"/>
  <c r="G83"/>
  <c r="F100" i="25"/>
  <c r="F101"/>
  <c r="E54"/>
  <c r="E55"/>
  <c r="E56"/>
  <c r="E58"/>
  <c r="E60"/>
  <c r="E146"/>
  <c r="E148"/>
  <c r="E149"/>
  <c r="E150"/>
  <c r="E152"/>
  <c r="E153"/>
  <c r="E154"/>
  <c r="E157"/>
  <c r="E158"/>
  <c r="E161"/>
  <c r="E162"/>
  <c r="E328"/>
  <c r="E329"/>
  <c r="E330"/>
  <c r="E327" s="1"/>
  <c r="E332"/>
  <c r="E333"/>
  <c r="E336"/>
  <c r="E337"/>
  <c r="E404"/>
  <c r="E406"/>
  <c r="E405"/>
  <c r="E560"/>
  <c r="E562"/>
  <c r="E563"/>
  <c r="E565"/>
  <c r="E564" s="1"/>
  <c r="E566"/>
  <c r="E567"/>
  <c r="E569"/>
  <c r="E570"/>
  <c r="G570"/>
  <c r="E571"/>
  <c r="E573"/>
  <c r="E574"/>
  <c r="G574" s="1"/>
  <c r="E575"/>
  <c r="E124"/>
  <c r="E125"/>
  <c r="E180"/>
  <c r="E181"/>
  <c r="E182"/>
  <c r="E235"/>
  <c r="E238"/>
  <c r="E232"/>
  <c r="E283"/>
  <c r="E282"/>
  <c r="E735"/>
  <c r="E387"/>
  <c r="E388"/>
  <c r="E389"/>
  <c r="E591"/>
  <c r="E592"/>
  <c r="E593"/>
  <c r="E497"/>
  <c r="D103" i="17"/>
  <c r="D69"/>
  <c r="E221" i="25"/>
  <c r="E220"/>
  <c r="F44" i="17"/>
  <c r="D44"/>
  <c r="D40"/>
  <c r="E139" i="25"/>
  <c r="E561"/>
  <c r="F114" i="13"/>
  <c r="F7"/>
  <c r="F15"/>
  <c r="F73" i="43"/>
  <c r="F34" i="13"/>
  <c r="F58"/>
  <c r="F169" i="43"/>
  <c r="F73" i="13"/>
  <c r="F274" i="43"/>
  <c r="F272"/>
  <c r="F364" i="25"/>
  <c r="F378"/>
  <c r="G378" s="1"/>
  <c r="F93" i="13"/>
  <c r="F310" i="43"/>
  <c r="F392" i="25"/>
  <c r="G392"/>
  <c r="F120" i="13"/>
  <c r="F413" i="43"/>
  <c r="G120" i="13"/>
  <c r="F128"/>
  <c r="F149"/>
  <c r="F504" i="43"/>
  <c r="F155" i="13"/>
  <c r="F522" i="43"/>
  <c r="E67" i="25"/>
  <c r="E66"/>
  <c r="E68"/>
  <c r="G68" s="1"/>
  <c r="E71"/>
  <c r="G71" s="1"/>
  <c r="E70"/>
  <c r="E72"/>
  <c r="E80"/>
  <c r="E81"/>
  <c r="E82"/>
  <c r="E78"/>
  <c r="E83"/>
  <c r="G83" s="1"/>
  <c r="E90"/>
  <c r="E91"/>
  <c r="E89"/>
  <c r="G89" s="1"/>
  <c r="E88"/>
  <c r="E94"/>
  <c r="G94"/>
  <c r="E93"/>
  <c r="E95"/>
  <c r="E98"/>
  <c r="G98"/>
  <c r="E99"/>
  <c r="E100"/>
  <c r="E101"/>
  <c r="E97"/>
  <c r="E102"/>
  <c r="E105"/>
  <c r="E104"/>
  <c r="G104" s="1"/>
  <c r="E106"/>
  <c r="E108"/>
  <c r="E110"/>
  <c r="E113"/>
  <c r="E114"/>
  <c r="E117"/>
  <c r="G117"/>
  <c r="E116"/>
  <c r="E118"/>
  <c r="E121"/>
  <c r="E120"/>
  <c r="E122"/>
  <c r="E130"/>
  <c r="E132"/>
  <c r="E131"/>
  <c r="E169"/>
  <c r="E168"/>
  <c r="E170"/>
  <c r="E173"/>
  <c r="E172"/>
  <c r="E174"/>
  <c r="E341"/>
  <c r="E340"/>
  <c r="E342"/>
  <c r="E344"/>
  <c r="E349"/>
  <c r="E357"/>
  <c r="E356"/>
  <c r="E361"/>
  <c r="E362"/>
  <c r="E363"/>
  <c r="E364"/>
  <c r="E366"/>
  <c r="E367"/>
  <c r="E368"/>
  <c r="E371"/>
  <c r="E372"/>
  <c r="E374"/>
  <c r="E375"/>
  <c r="E378"/>
  <c r="E379"/>
  <c r="E377"/>
  <c r="E383"/>
  <c r="E384"/>
  <c r="E392"/>
  <c r="E391"/>
  <c r="E390" s="1"/>
  <c r="E393"/>
  <c r="E443"/>
  <c r="E445"/>
  <c r="E446"/>
  <c r="E447"/>
  <c r="E453"/>
  <c r="E241"/>
  <c r="E243"/>
  <c r="E246"/>
  <c r="E248"/>
  <c r="E257"/>
  <c r="E260"/>
  <c r="E262"/>
  <c r="E265"/>
  <c r="E268"/>
  <c r="E280"/>
  <c r="E286"/>
  <c r="E285"/>
  <c r="E396"/>
  <c r="E397"/>
  <c r="E395" s="1"/>
  <c r="E412"/>
  <c r="E411"/>
  <c r="E416"/>
  <c r="E415"/>
  <c r="E578"/>
  <c r="E577"/>
  <c r="E579"/>
  <c r="E584"/>
  <c r="E583"/>
  <c r="G583"/>
  <c r="E585"/>
  <c r="E587"/>
  <c r="E606"/>
  <c r="E607"/>
  <c r="E615"/>
  <c r="E617"/>
  <c r="E620"/>
  <c r="G620"/>
  <c r="E619"/>
  <c r="E621"/>
  <c r="E624"/>
  <c r="G624" s="1"/>
  <c r="E633"/>
  <c r="G633" s="1"/>
  <c r="E634"/>
  <c r="E551"/>
  <c r="G56" i="8"/>
  <c r="D179" i="17"/>
  <c r="B131" i="39" s="1"/>
  <c r="D169" i="17"/>
  <c r="D102" i="42"/>
  <c r="D91" i="17"/>
  <c r="D55" i="42" s="1"/>
  <c r="D90" i="17"/>
  <c r="D54" i="42"/>
  <c r="D89" i="17"/>
  <c r="D53" i="42" s="1"/>
  <c r="D88" i="17"/>
  <c r="D52" i="42"/>
  <c r="D87" i="17"/>
  <c r="D51" i="42" s="1"/>
  <c r="D84" i="17"/>
  <c r="D50"/>
  <c r="B7" i="39"/>
  <c r="D49" i="17"/>
  <c r="B6" i="39"/>
  <c r="B141"/>
  <c r="D48" i="17"/>
  <c r="B5" i="39" s="1"/>
  <c r="D45" i="17"/>
  <c r="F254" i="25"/>
  <c r="F253" s="1"/>
  <c r="G42" i="15"/>
  <c r="F145" i="13"/>
  <c r="H145"/>
  <c r="F153"/>
  <c r="H153"/>
  <c r="F157"/>
  <c r="F159"/>
  <c r="G159"/>
  <c r="F101"/>
  <c r="G101"/>
  <c r="F104"/>
  <c r="H104"/>
  <c r="F71"/>
  <c r="H71"/>
  <c r="F75"/>
  <c r="H75"/>
  <c r="F87"/>
  <c r="H87"/>
  <c r="F89"/>
  <c r="F91"/>
  <c r="G91"/>
  <c r="F95"/>
  <c r="F98"/>
  <c r="G98"/>
  <c r="F130" i="8"/>
  <c r="G130"/>
  <c r="F122" i="13"/>
  <c r="F416" i="43"/>
  <c r="F36" i="13"/>
  <c r="H36"/>
  <c r="F13"/>
  <c r="H13"/>
  <c r="F26"/>
  <c r="H26"/>
  <c r="F36" i="7"/>
  <c r="F44" i="13"/>
  <c r="F134" i="43"/>
  <c r="F55" i="13"/>
  <c r="H55"/>
  <c r="F143" i="17"/>
  <c r="G143"/>
  <c r="F162"/>
  <c r="H162"/>
  <c r="F163" i="7"/>
  <c r="D160"/>
  <c r="G160"/>
  <c r="F159"/>
  <c r="G89"/>
  <c r="F40"/>
  <c r="F126" i="43"/>
  <c r="F130" i="25"/>
  <c r="G47" i="15"/>
  <c r="H47"/>
  <c r="G151" i="7"/>
  <c r="G129" i="13"/>
  <c r="G170" i="8"/>
  <c r="G172"/>
  <c r="G174"/>
  <c r="F175"/>
  <c r="F181"/>
  <c r="G182"/>
  <c r="G187"/>
  <c r="G127"/>
  <c r="F32"/>
  <c r="F360" i="25"/>
  <c r="F363"/>
  <c r="D26" i="7"/>
  <c r="F60" i="8"/>
  <c r="F170" i="43"/>
  <c r="F56" i="7"/>
  <c r="F168" i="43"/>
  <c r="E178" i="25"/>
  <c r="F57" i="8"/>
  <c r="F55"/>
  <c r="G55"/>
  <c r="D55"/>
  <c r="F154" i="7"/>
  <c r="F157"/>
  <c r="G164"/>
  <c r="G156"/>
  <c r="G155"/>
  <c r="G147"/>
  <c r="F13" i="8"/>
  <c r="F15"/>
  <c r="F74" i="43"/>
  <c r="G74" s="1"/>
  <c r="F17" i="8"/>
  <c r="G17"/>
  <c r="F26"/>
  <c r="F28"/>
  <c r="G28"/>
  <c r="F34"/>
  <c r="F43"/>
  <c r="F36"/>
  <c r="F38"/>
  <c r="F41"/>
  <c r="F128"/>
  <c r="G128"/>
  <c r="F132"/>
  <c r="F314" i="43"/>
  <c r="F123" i="8"/>
  <c r="F135"/>
  <c r="G135"/>
  <c r="F142"/>
  <c r="F138"/>
  <c r="G125" i="13"/>
  <c r="G123"/>
  <c r="G121"/>
  <c r="G117"/>
  <c r="A136"/>
  <c r="A137"/>
  <c r="B137"/>
  <c r="C137"/>
  <c r="D137"/>
  <c r="C139"/>
  <c r="D139"/>
  <c r="F15" i="7"/>
  <c r="F32"/>
  <c r="F102"/>
  <c r="F343" i="43"/>
  <c r="G31" i="15"/>
  <c r="F224" i="43"/>
  <c r="A126" i="17"/>
  <c r="D114"/>
  <c r="F100" i="7"/>
  <c r="H100"/>
  <c r="F104"/>
  <c r="F109"/>
  <c r="F113"/>
  <c r="H113"/>
  <c r="F115"/>
  <c r="F118"/>
  <c r="G118"/>
  <c r="F121"/>
  <c r="G121"/>
  <c r="G103"/>
  <c r="D103"/>
  <c r="D102"/>
  <c r="G76"/>
  <c r="F69"/>
  <c r="F71"/>
  <c r="F73"/>
  <c r="F81"/>
  <c r="H81"/>
  <c r="F83"/>
  <c r="G72"/>
  <c r="D71"/>
  <c r="G120" i="8"/>
  <c r="G122"/>
  <c r="G80" i="13"/>
  <c r="G82"/>
  <c r="G74"/>
  <c r="D73"/>
  <c r="G14" i="15"/>
  <c r="I14"/>
  <c r="G16"/>
  <c r="G18"/>
  <c r="H18"/>
  <c r="G25"/>
  <c r="G29"/>
  <c r="H29"/>
  <c r="G37"/>
  <c r="G40"/>
  <c r="E254" i="25"/>
  <c r="E253"/>
  <c r="G35" i="15"/>
  <c r="H35"/>
  <c r="H42"/>
  <c r="H17"/>
  <c r="D16"/>
  <c r="F13" i="7"/>
  <c r="H13"/>
  <c r="F17"/>
  <c r="F22"/>
  <c r="F24"/>
  <c r="F30"/>
  <c r="F34"/>
  <c r="G16" i="8"/>
  <c r="D15"/>
  <c r="G16" i="13"/>
  <c r="D15"/>
  <c r="G16" i="7"/>
  <c r="D15"/>
  <c r="G45" i="15"/>
  <c r="I45"/>
  <c r="D43" i="17"/>
  <c r="D42"/>
  <c r="D8" i="42"/>
  <c r="F210" i="8"/>
  <c r="F212"/>
  <c r="G212"/>
  <c r="H200" i="7"/>
  <c r="F212"/>
  <c r="F53"/>
  <c r="H53"/>
  <c r="F214"/>
  <c r="F529" i="43"/>
  <c r="F214" i="8"/>
  <c r="F531" i="43"/>
  <c r="F206" i="8"/>
  <c r="F505" i="43"/>
  <c r="F197" i="7"/>
  <c r="H197"/>
  <c r="F204"/>
  <c r="G204"/>
  <c r="F210"/>
  <c r="H210"/>
  <c r="F223"/>
  <c r="F124"/>
  <c r="F128"/>
  <c r="H128"/>
  <c r="F203" i="8"/>
  <c r="G673" i="25"/>
  <c r="D562"/>
  <c r="D50"/>
  <c r="D324"/>
  <c r="G141" i="13"/>
  <c r="D322" i="25"/>
  <c r="D48"/>
  <c r="D560"/>
  <c r="G193" i="7"/>
  <c r="D96"/>
  <c r="D228" i="25"/>
  <c r="D326"/>
  <c r="D52"/>
  <c r="G19" i="8"/>
  <c r="G23"/>
  <c r="G24"/>
  <c r="D114" i="7"/>
  <c r="G47"/>
  <c r="G19"/>
  <c r="G23"/>
  <c r="G51" i="8"/>
  <c r="G49" i="13"/>
  <c r="G46"/>
  <c r="G23"/>
  <c r="G25"/>
  <c r="G19"/>
  <c r="J81" i="15"/>
  <c r="H81"/>
  <c r="H82"/>
  <c r="H83"/>
  <c r="H84"/>
  <c r="D84"/>
  <c r="E4"/>
  <c r="E3"/>
  <c r="E7"/>
  <c r="E6"/>
  <c r="E10"/>
  <c r="E11"/>
  <c r="E12"/>
  <c r="E19"/>
  <c r="E18"/>
  <c r="I18"/>
  <c r="E24"/>
  <c r="E33"/>
  <c r="I33"/>
  <c r="D676" i="25"/>
  <c r="D677"/>
  <c r="D678"/>
  <c r="D679"/>
  <c r="D682"/>
  <c r="D683"/>
  <c r="D684"/>
  <c r="D685"/>
  <c r="D697"/>
  <c r="D86" i="17"/>
  <c r="D288" i="25"/>
  <c r="H84" i="17"/>
  <c r="G84"/>
  <c r="D234" i="8"/>
  <c r="D233"/>
  <c r="D232"/>
  <c r="D231"/>
  <c r="D195" i="13"/>
  <c r="D194"/>
  <c r="D193"/>
  <c r="D192"/>
  <c r="H144" i="17"/>
  <c r="H158"/>
  <c r="H159"/>
  <c r="H160"/>
  <c r="H163"/>
  <c r="H164"/>
  <c r="H165"/>
  <c r="H111"/>
  <c r="H45"/>
  <c r="H199" i="7"/>
  <c r="H201"/>
  <c r="H205"/>
  <c r="H211"/>
  <c r="H213"/>
  <c r="H215"/>
  <c r="H224"/>
  <c r="H225"/>
  <c r="H226"/>
  <c r="H230"/>
  <c r="H231"/>
  <c r="H232"/>
  <c r="H233"/>
  <c r="H234"/>
  <c r="H235"/>
  <c r="H236"/>
  <c r="H237"/>
  <c r="H238"/>
  <c r="H239"/>
  <c r="H240"/>
  <c r="H241"/>
  <c r="H198"/>
  <c r="H194"/>
  <c r="H190"/>
  <c r="H131"/>
  <c r="H130"/>
  <c r="H129"/>
  <c r="H127"/>
  <c r="H126"/>
  <c r="H125"/>
  <c r="H122"/>
  <c r="H120"/>
  <c r="H119"/>
  <c r="H117"/>
  <c r="H116"/>
  <c r="H114"/>
  <c r="H112"/>
  <c r="H111"/>
  <c r="H110"/>
  <c r="H108"/>
  <c r="H105"/>
  <c r="H101"/>
  <c r="H97"/>
  <c r="H87"/>
  <c r="H86"/>
  <c r="H84"/>
  <c r="H82"/>
  <c r="H80"/>
  <c r="H78"/>
  <c r="H74"/>
  <c r="H70"/>
  <c r="H66"/>
  <c r="H58"/>
  <c r="H57"/>
  <c r="H55"/>
  <c r="H54"/>
  <c r="H48"/>
  <c r="H38"/>
  <c r="H37"/>
  <c r="H35"/>
  <c r="H33"/>
  <c r="H29"/>
  <c r="H25"/>
  <c r="H18"/>
  <c r="H14"/>
  <c r="H12"/>
  <c r="H9"/>
  <c r="G134" i="8"/>
  <c r="G133"/>
  <c r="G131"/>
  <c r="G9"/>
  <c r="G12"/>
  <c r="G14"/>
  <c r="G18"/>
  <c r="G27"/>
  <c r="G29"/>
  <c r="G30"/>
  <c r="G31"/>
  <c r="G35"/>
  <c r="G37"/>
  <c r="G39"/>
  <c r="G42"/>
  <c r="G44"/>
  <c r="G52"/>
  <c r="G54"/>
  <c r="G58"/>
  <c r="G59"/>
  <c r="G61"/>
  <c r="G62"/>
  <c r="G124"/>
  <c r="G125"/>
  <c r="G129"/>
  <c r="G136"/>
  <c r="G139"/>
  <c r="G140"/>
  <c r="G143"/>
  <c r="G144"/>
  <c r="G200"/>
  <c r="G204"/>
  <c r="G205"/>
  <c r="G207"/>
  <c r="G208"/>
  <c r="G211"/>
  <c r="G213"/>
  <c r="G215"/>
  <c r="G225"/>
  <c r="H68" i="13"/>
  <c r="H70"/>
  <c r="H72"/>
  <c r="H76"/>
  <c r="H84"/>
  <c r="H86"/>
  <c r="H88"/>
  <c r="H89"/>
  <c r="H90"/>
  <c r="H92"/>
  <c r="H94"/>
  <c r="H95"/>
  <c r="H96"/>
  <c r="H97"/>
  <c r="H99"/>
  <c r="H102"/>
  <c r="H103"/>
  <c r="H105"/>
  <c r="H106"/>
  <c r="H142"/>
  <c r="H143"/>
  <c r="H144"/>
  <c r="H146"/>
  <c r="H148"/>
  <c r="H150"/>
  <c r="H151"/>
  <c r="H154"/>
  <c r="H156"/>
  <c r="H158"/>
  <c r="H160"/>
  <c r="H169"/>
  <c r="H170"/>
  <c r="H63"/>
  <c r="H60"/>
  <c r="H59"/>
  <c r="H57"/>
  <c r="H56"/>
  <c r="H52"/>
  <c r="H50"/>
  <c r="H48"/>
  <c r="H45"/>
  <c r="H42"/>
  <c r="H40"/>
  <c r="H37"/>
  <c r="H30"/>
  <c r="H29"/>
  <c r="H27"/>
  <c r="H14"/>
  <c r="H12"/>
  <c r="H9"/>
  <c r="I10" i="15"/>
  <c r="I13"/>
  <c r="E14"/>
  <c r="I15"/>
  <c r="I22"/>
  <c r="E23"/>
  <c r="I24"/>
  <c r="E25"/>
  <c r="I25"/>
  <c r="I26"/>
  <c r="I27"/>
  <c r="I28"/>
  <c r="E29"/>
  <c r="I30"/>
  <c r="E32"/>
  <c r="I32"/>
  <c r="I34"/>
  <c r="E35"/>
  <c r="I35"/>
  <c r="I36"/>
  <c r="E37"/>
  <c r="I37"/>
  <c r="I38"/>
  <c r="I39"/>
  <c r="E40"/>
  <c r="I40"/>
  <c r="I41"/>
  <c r="E42"/>
  <c r="I43"/>
  <c r="E44"/>
  <c r="E45"/>
  <c r="I46"/>
  <c r="E47"/>
  <c r="I47"/>
  <c r="I48"/>
  <c r="E49"/>
  <c r="E51"/>
  <c r="G165" i="17"/>
  <c r="H45" i="15"/>
  <c r="H46"/>
  <c r="H48"/>
  <c r="D47"/>
  <c r="G129" i="7"/>
  <c r="G130"/>
  <c r="G131"/>
  <c r="D128"/>
  <c r="G106" i="13"/>
  <c r="G103"/>
  <c r="G105"/>
  <c r="D104"/>
  <c r="G111" i="7"/>
  <c r="G97" i="13"/>
  <c r="D74" i="15"/>
  <c r="H34"/>
  <c r="D33"/>
  <c r="D59" i="8"/>
  <c r="G111" i="17"/>
  <c r="A113"/>
  <c r="D112"/>
  <c r="D111"/>
  <c r="D110"/>
  <c r="A182"/>
  <c r="A177"/>
  <c r="D168"/>
  <c r="G29" i="13"/>
  <c r="D43" i="8"/>
  <c r="G170" i="13"/>
  <c r="G226" i="7"/>
  <c r="D34" i="8"/>
  <c r="G224" i="7"/>
  <c r="G225"/>
  <c r="G158" i="17"/>
  <c r="G159"/>
  <c r="G160"/>
  <c r="G163"/>
  <c r="A109"/>
  <c r="A216" i="8"/>
  <c r="D214"/>
  <c r="D212"/>
  <c r="D210"/>
  <c r="G59" i="13"/>
  <c r="D58"/>
  <c r="C58"/>
  <c r="G150"/>
  <c r="D149"/>
  <c r="C149"/>
  <c r="D206" i="8"/>
  <c r="C206"/>
  <c r="D60"/>
  <c r="C60"/>
  <c r="D200" i="7"/>
  <c r="D56"/>
  <c r="G201"/>
  <c r="G57"/>
  <c r="G211"/>
  <c r="G205"/>
  <c r="D204"/>
  <c r="C204"/>
  <c r="H43" i="15"/>
  <c r="C288" i="25"/>
  <c r="D53" i="7"/>
  <c r="G215"/>
  <c r="D214"/>
  <c r="C214"/>
  <c r="G160" i="13"/>
  <c r="D159"/>
  <c r="C159"/>
  <c r="B204" i="7"/>
  <c r="A204"/>
  <c r="H13" i="15"/>
  <c r="D13"/>
  <c r="C13"/>
  <c r="G154" i="13"/>
  <c r="D153"/>
  <c r="B153"/>
  <c r="C153"/>
  <c r="A153"/>
  <c r="A183" i="17"/>
  <c r="A167"/>
  <c r="A166"/>
  <c r="A145"/>
  <c r="B143"/>
  <c r="C143"/>
  <c r="D143"/>
  <c r="A143"/>
  <c r="A142"/>
  <c r="A85"/>
  <c r="C47"/>
  <c r="A46"/>
  <c r="B40"/>
  <c r="D2"/>
  <c r="C2"/>
  <c r="B2"/>
  <c r="A2"/>
  <c r="H14" i="15"/>
  <c r="H15"/>
  <c r="D14"/>
  <c r="C14"/>
  <c r="D38" i="8"/>
  <c r="A51" i="15"/>
  <c r="D49"/>
  <c r="C49"/>
  <c r="A45"/>
  <c r="C45"/>
  <c r="D45"/>
  <c r="B45"/>
  <c r="D40"/>
  <c r="C40"/>
  <c r="C39"/>
  <c r="D37"/>
  <c r="C37"/>
  <c r="D35"/>
  <c r="C35"/>
  <c r="D31"/>
  <c r="C31"/>
  <c r="D29"/>
  <c r="C29"/>
  <c r="C28"/>
  <c r="D25"/>
  <c r="C25"/>
  <c r="D23"/>
  <c r="C23"/>
  <c r="C22"/>
  <c r="D18"/>
  <c r="C18"/>
  <c r="D12"/>
  <c r="C12"/>
  <c r="D11"/>
  <c r="C11"/>
  <c r="C10"/>
  <c r="D6"/>
  <c r="C6"/>
  <c r="B3"/>
  <c r="C3"/>
  <c r="D3"/>
  <c r="A3"/>
  <c r="B2"/>
  <c r="C2"/>
  <c r="D2"/>
  <c r="A2"/>
  <c r="G156" i="13"/>
  <c r="G158"/>
  <c r="A161"/>
  <c r="D157"/>
  <c r="C157"/>
  <c r="C155"/>
  <c r="D155"/>
  <c r="G213" i="7"/>
  <c r="A216"/>
  <c r="D212"/>
  <c r="C212"/>
  <c r="C210"/>
  <c r="D210"/>
  <c r="A229"/>
  <c r="A228"/>
  <c r="A203"/>
  <c r="C202"/>
  <c r="C199"/>
  <c r="D197"/>
  <c r="C197"/>
  <c r="D196"/>
  <c r="C196"/>
  <c r="D195"/>
  <c r="C195"/>
  <c r="C194"/>
  <c r="D191"/>
  <c r="C191"/>
  <c r="B189"/>
  <c r="C189"/>
  <c r="D189"/>
  <c r="A189"/>
  <c r="A188"/>
  <c r="C124"/>
  <c r="D124"/>
  <c r="B124"/>
  <c r="A123"/>
  <c r="C121"/>
  <c r="C120"/>
  <c r="D118"/>
  <c r="C118"/>
  <c r="D117"/>
  <c r="C117"/>
  <c r="D115"/>
  <c r="C115"/>
  <c r="D113"/>
  <c r="C113"/>
  <c r="C112"/>
  <c r="C109"/>
  <c r="C108"/>
  <c r="D104"/>
  <c r="C104"/>
  <c r="D100"/>
  <c r="C100"/>
  <c r="D99"/>
  <c r="C99"/>
  <c r="D98"/>
  <c r="C98"/>
  <c r="C97"/>
  <c r="C94"/>
  <c r="C91"/>
  <c r="B91"/>
  <c r="A90"/>
  <c r="D88"/>
  <c r="C88"/>
  <c r="C87"/>
  <c r="D85"/>
  <c r="C85"/>
  <c r="D83"/>
  <c r="C83"/>
  <c r="D81"/>
  <c r="C81"/>
  <c r="C80"/>
  <c r="D77"/>
  <c r="C77"/>
  <c r="D75"/>
  <c r="C75"/>
  <c r="D73"/>
  <c r="C73"/>
  <c r="D69"/>
  <c r="C69"/>
  <c r="D68"/>
  <c r="C68"/>
  <c r="D67"/>
  <c r="C67"/>
  <c r="C66"/>
  <c r="D63"/>
  <c r="C63"/>
  <c r="C60"/>
  <c r="A60"/>
  <c r="B60"/>
  <c r="A59"/>
  <c r="C58"/>
  <c r="D55"/>
  <c r="C55"/>
  <c r="C53"/>
  <c r="D50"/>
  <c r="C50"/>
  <c r="D49"/>
  <c r="C49"/>
  <c r="C48"/>
  <c r="D45"/>
  <c r="C45"/>
  <c r="C42"/>
  <c r="B42"/>
  <c r="A42"/>
  <c r="A41"/>
  <c r="C39"/>
  <c r="C38"/>
  <c r="D36"/>
  <c r="C36"/>
  <c r="D34"/>
  <c r="C34"/>
  <c r="D32"/>
  <c r="C32"/>
  <c r="D30"/>
  <c r="C30"/>
  <c r="D29"/>
  <c r="C29"/>
  <c r="C26"/>
  <c r="D24"/>
  <c r="C24"/>
  <c r="C22"/>
  <c r="D17"/>
  <c r="C17"/>
  <c r="D13"/>
  <c r="C13"/>
  <c r="D12"/>
  <c r="C12"/>
  <c r="D11"/>
  <c r="C11"/>
  <c r="D10"/>
  <c r="C10"/>
  <c r="C9"/>
  <c r="D6"/>
  <c r="C6"/>
  <c r="B3"/>
  <c r="C3"/>
  <c r="D3"/>
  <c r="A3"/>
  <c r="C22" i="8"/>
  <c r="A228"/>
  <c r="A227"/>
  <c r="C208"/>
  <c r="C205"/>
  <c r="D203"/>
  <c r="C203"/>
  <c r="D202"/>
  <c r="C202"/>
  <c r="D201"/>
  <c r="C201"/>
  <c r="C200"/>
  <c r="D198"/>
  <c r="C198"/>
  <c r="B195"/>
  <c r="C195"/>
  <c r="D195"/>
  <c r="A195"/>
  <c r="B138"/>
  <c r="C138"/>
  <c r="D138"/>
  <c r="A138"/>
  <c r="A137"/>
  <c r="D132"/>
  <c r="C132"/>
  <c r="C134"/>
  <c r="D130"/>
  <c r="C130"/>
  <c r="D128"/>
  <c r="C128"/>
  <c r="D126"/>
  <c r="C126"/>
  <c r="C125"/>
  <c r="D123"/>
  <c r="C123"/>
  <c r="C119"/>
  <c r="A63"/>
  <c r="C62"/>
  <c r="D57"/>
  <c r="C57"/>
  <c r="D54"/>
  <c r="C54"/>
  <c r="D53"/>
  <c r="C53"/>
  <c r="C52"/>
  <c r="D49"/>
  <c r="C49"/>
  <c r="C46"/>
  <c r="B46"/>
  <c r="A46"/>
  <c r="A45"/>
  <c r="C41"/>
  <c r="C40"/>
  <c r="C36"/>
  <c r="C34"/>
  <c r="D32"/>
  <c r="C32"/>
  <c r="D31"/>
  <c r="C31"/>
  <c r="D28"/>
  <c r="C28"/>
  <c r="D26"/>
  <c r="C26"/>
  <c r="D17"/>
  <c r="C17"/>
  <c r="D13"/>
  <c r="C13"/>
  <c r="D12"/>
  <c r="C12"/>
  <c r="D11"/>
  <c r="C11"/>
  <c r="D10"/>
  <c r="C10"/>
  <c r="C9"/>
  <c r="D6"/>
  <c r="C6"/>
  <c r="B3"/>
  <c r="C3"/>
  <c r="D3"/>
  <c r="A3"/>
  <c r="A173" i="13"/>
  <c r="A172"/>
  <c r="C151"/>
  <c r="D148"/>
  <c r="C148"/>
  <c r="D145"/>
  <c r="C145"/>
  <c r="D144"/>
  <c r="C144"/>
  <c r="D143"/>
  <c r="C143"/>
  <c r="C142"/>
  <c r="B101"/>
  <c r="C101"/>
  <c r="D101"/>
  <c r="A101"/>
  <c r="C97"/>
  <c r="D95"/>
  <c r="C95"/>
  <c r="D91"/>
  <c r="C91"/>
  <c r="D89"/>
  <c r="D87"/>
  <c r="C87"/>
  <c r="C86"/>
  <c r="D83"/>
  <c r="C83"/>
  <c r="C79"/>
  <c r="D75"/>
  <c r="C75"/>
  <c r="D70"/>
  <c r="C70"/>
  <c r="D69"/>
  <c r="C69"/>
  <c r="C68"/>
  <c r="D65"/>
  <c r="C65"/>
  <c r="B62"/>
  <c r="C62"/>
  <c r="A62"/>
  <c r="A100"/>
  <c r="D13"/>
  <c r="B3"/>
  <c r="G45" i="17"/>
  <c r="G144"/>
  <c r="G164"/>
  <c r="D135" i="7"/>
  <c r="D134"/>
  <c r="D133"/>
  <c r="D132"/>
  <c r="C132"/>
  <c r="G9"/>
  <c r="G12"/>
  <c r="G14"/>
  <c r="G18"/>
  <c r="G25"/>
  <c r="G29"/>
  <c r="G31"/>
  <c r="G33"/>
  <c r="G35"/>
  <c r="G37"/>
  <c r="G38"/>
  <c r="G48"/>
  <c r="G54"/>
  <c r="G55"/>
  <c r="G58"/>
  <c r="G66"/>
  <c r="G70"/>
  <c r="G80"/>
  <c r="G82"/>
  <c r="G84"/>
  <c r="G86"/>
  <c r="G87"/>
  <c r="G97"/>
  <c r="G101"/>
  <c r="G105"/>
  <c r="G108"/>
  <c r="G110"/>
  <c r="G112"/>
  <c r="G114"/>
  <c r="G116"/>
  <c r="G117"/>
  <c r="G119"/>
  <c r="G120"/>
  <c r="G122"/>
  <c r="G125"/>
  <c r="G126"/>
  <c r="G127"/>
  <c r="G194"/>
  <c r="G198"/>
  <c r="G199"/>
  <c r="D50" i="15"/>
  <c r="H10"/>
  <c r="H19"/>
  <c r="H22"/>
  <c r="H24"/>
  <c r="H26"/>
  <c r="H27"/>
  <c r="H28"/>
  <c r="H30"/>
  <c r="H32"/>
  <c r="H36"/>
  <c r="H37"/>
  <c r="H38"/>
  <c r="H39"/>
  <c r="H40"/>
  <c r="H41"/>
  <c r="D147" i="8"/>
  <c r="D146"/>
  <c r="C146"/>
  <c r="G9" i="13"/>
  <c r="G12"/>
  <c r="G14"/>
  <c r="G27"/>
  <c r="G30"/>
  <c r="G35"/>
  <c r="G37"/>
  <c r="G40"/>
  <c r="G45"/>
  <c r="G48"/>
  <c r="G50"/>
  <c r="G52"/>
  <c r="G56"/>
  <c r="G57"/>
  <c r="G60"/>
  <c r="G68"/>
  <c r="G72"/>
  <c r="G84"/>
  <c r="G86"/>
  <c r="G88"/>
  <c r="G90"/>
  <c r="G94"/>
  <c r="G96"/>
  <c r="G99"/>
  <c r="G102"/>
  <c r="G142"/>
  <c r="G143"/>
  <c r="G144"/>
  <c r="G146"/>
  <c r="G148"/>
  <c r="G151"/>
  <c r="D107"/>
  <c r="C107"/>
  <c r="A61"/>
  <c r="D57"/>
  <c r="D55"/>
  <c r="D52"/>
  <c r="D51"/>
  <c r="D47"/>
  <c r="A43"/>
  <c r="D32"/>
  <c r="D31"/>
  <c r="D28"/>
  <c r="D26"/>
  <c r="D17"/>
  <c r="D12"/>
  <c r="D11"/>
  <c r="D10"/>
  <c r="D199" i="7"/>
  <c r="D205" i="8"/>
  <c r="D144" i="17"/>
  <c r="D127" i="7"/>
  <c r="D126"/>
  <c r="D125"/>
  <c r="D46" i="15"/>
  <c r="D140" i="8"/>
  <c r="D139"/>
  <c r="D103" i="13"/>
  <c r="D102"/>
  <c r="D121" i="7"/>
  <c r="D122"/>
  <c r="D116"/>
  <c r="D110"/>
  <c r="D109"/>
  <c r="D108"/>
  <c r="D101"/>
  <c r="D105"/>
  <c r="D95"/>
  <c r="D94"/>
  <c r="D91"/>
  <c r="D62" i="13"/>
  <c r="D60" i="7"/>
  <c r="D42"/>
  <c r="D44" i="13"/>
  <c r="D46" i="8"/>
  <c r="D47" i="17"/>
  <c r="D36" i="8"/>
  <c r="D41" i="13"/>
  <c r="D36"/>
  <c r="D38"/>
  <c r="D6"/>
  <c r="D3"/>
  <c r="G158" i="7"/>
  <c r="F97" i="25"/>
  <c r="H28" i="7"/>
  <c r="G28"/>
  <c r="F52" i="25"/>
  <c r="F110"/>
  <c r="G110"/>
  <c r="G33" i="8"/>
  <c r="H93" i="13"/>
  <c r="F129" i="25"/>
  <c r="F41" i="13"/>
  <c r="H41"/>
  <c r="F83"/>
  <c r="H83"/>
  <c r="H79"/>
  <c r="F223" i="8"/>
  <c r="G224"/>
  <c r="H33" i="15"/>
  <c r="I19"/>
  <c r="G85" i="13"/>
  <c r="G92"/>
  <c r="F28"/>
  <c r="H28"/>
  <c r="E165" i="25"/>
  <c r="E6"/>
  <c r="G15" i="17"/>
  <c r="G27" i="7"/>
  <c r="H79"/>
  <c r="H98"/>
  <c r="F88"/>
  <c r="H88"/>
  <c r="H89"/>
  <c r="F391" i="25"/>
  <c r="F26" i="7"/>
  <c r="G26"/>
  <c r="G79"/>
  <c r="H27"/>
  <c r="H25" i="15"/>
  <c r="H23"/>
  <c r="F251" i="25"/>
  <c r="F126" i="8"/>
  <c r="F372" i="25"/>
  <c r="G372"/>
  <c r="H31" i="15"/>
  <c r="I31"/>
  <c r="C27" i="40"/>
  <c r="H58" i="15"/>
  <c r="E7" i="40"/>
  <c r="E9"/>
  <c r="E12"/>
  <c r="E14"/>
  <c r="E8"/>
  <c r="E10"/>
  <c r="E11"/>
  <c r="E13"/>
  <c r="E15"/>
  <c r="E19"/>
  <c r="E25"/>
  <c r="E22"/>
  <c r="E20"/>
  <c r="E18"/>
  <c r="E24"/>
  <c r="E17"/>
  <c r="E23"/>
  <c r="E21"/>
  <c r="E26"/>
  <c r="F64" i="25"/>
  <c r="G64" s="1"/>
  <c r="E71" i="42"/>
  <c r="G40" i="8"/>
  <c r="F625" i="25"/>
  <c r="F75" i="8"/>
  <c r="E448" i="25"/>
  <c r="F448"/>
  <c r="E350"/>
  <c r="F326"/>
  <c r="E62"/>
  <c r="E227"/>
  <c r="H60" i="15"/>
  <c r="H9"/>
  <c r="E228" i="25"/>
  <c r="E251"/>
  <c r="F3" i="15"/>
  <c r="E177" i="43"/>
  <c r="E224" i="25"/>
  <c r="F6" i="15"/>
  <c r="E358" i="25"/>
  <c r="E126"/>
  <c r="E64"/>
  <c r="E52"/>
  <c r="E326"/>
  <c r="E43"/>
  <c r="G43" s="1"/>
  <c r="E324"/>
  <c r="G324" s="1"/>
  <c r="G67" i="13"/>
  <c r="E75"/>
  <c r="G76"/>
  <c r="E51" i="25"/>
  <c r="E63"/>
  <c r="F350"/>
  <c r="F62" i="13"/>
  <c r="F247" i="43"/>
  <c r="G247" s="1"/>
  <c r="E50" i="25"/>
  <c r="F65" i="13"/>
  <c r="H65"/>
  <c r="G8"/>
  <c r="E44"/>
  <c r="E134" i="43"/>
  <c r="E142" i="25"/>
  <c r="E654"/>
  <c r="E293"/>
  <c r="F170" i="17"/>
  <c r="E59" i="42"/>
  <c r="E60"/>
  <c r="E6" i="13"/>
  <c r="E64" i="42"/>
  <c r="H64" i="15"/>
  <c r="H62"/>
  <c r="F274" i="25"/>
  <c r="F273"/>
  <c r="F271"/>
  <c r="F270"/>
  <c r="F51" i="46"/>
  <c r="F50" s="1"/>
  <c r="G51"/>
  <c r="F354" i="25"/>
  <c r="F351"/>
  <c r="F154" i="8"/>
  <c r="E9" i="46"/>
  <c r="G9" s="1"/>
  <c r="G70" i="8"/>
  <c r="G5"/>
  <c r="E233" i="25"/>
  <c r="G32" i="8"/>
  <c r="E146"/>
  <c r="E43" i="46"/>
  <c r="G43" s="1"/>
  <c r="G193" i="25"/>
  <c r="H91" i="13"/>
  <c r="E107"/>
  <c r="F17"/>
  <c r="G17"/>
  <c r="F137"/>
  <c r="H137"/>
  <c r="G138"/>
  <c r="H138"/>
  <c r="F109" i="25"/>
  <c r="H33" i="13"/>
  <c r="G33"/>
  <c r="H18"/>
  <c r="H157"/>
  <c r="E32"/>
  <c r="E41"/>
  <c r="E65"/>
  <c r="G65"/>
  <c r="E450" i="25"/>
  <c r="E449" s="1"/>
  <c r="F32" i="13"/>
  <c r="H32"/>
  <c r="F79" i="25"/>
  <c r="G18" i="13"/>
  <c r="E109" i="25"/>
  <c r="F75"/>
  <c r="G20" i="13"/>
  <c r="G4"/>
  <c r="E451" i="25"/>
  <c r="E79"/>
  <c r="G58" i="13"/>
  <c r="E129" i="25"/>
  <c r="G42" i="13"/>
  <c r="F113" i="25"/>
  <c r="G113"/>
  <c r="E623"/>
  <c r="E77" i="7"/>
  <c r="G78"/>
  <c r="E360" i="25"/>
  <c r="E359" s="1"/>
  <c r="E46" i="8"/>
  <c r="E135" i="43"/>
  <c r="E143" i="25"/>
  <c r="G143" s="1"/>
  <c r="G76" i="8"/>
  <c r="E75"/>
  <c r="E14" i="46"/>
  <c r="E249" i="25"/>
  <c r="G249" s="1"/>
  <c r="E41"/>
  <c r="G41" s="1"/>
  <c r="E48"/>
  <c r="G65" i="7"/>
  <c r="E322" i="25"/>
  <c r="G93" i="7"/>
  <c r="E160" i="25"/>
  <c r="H99" i="7"/>
  <c r="H212"/>
  <c r="F410" i="25"/>
  <c r="F409"/>
  <c r="G109" i="7"/>
  <c r="G139"/>
  <c r="G74"/>
  <c r="E348" i="25"/>
  <c r="E128"/>
  <c r="E127" s="1"/>
  <c r="E410"/>
  <c r="E409" s="1"/>
  <c r="E63" i="7"/>
  <c r="E42"/>
  <c r="E133" i="43"/>
  <c r="E132" s="1"/>
  <c r="E141" i="25"/>
  <c r="H118" i="7"/>
  <c r="H109"/>
  <c r="E156" i="25"/>
  <c r="H3" i="13"/>
  <c r="F700" i="25"/>
  <c r="I29" i="15"/>
  <c r="E556" i="25"/>
  <c r="H56" i="15"/>
  <c r="G62" i="7"/>
  <c r="E137" i="25"/>
  <c r="F38"/>
  <c r="F37"/>
  <c r="F166" i="17"/>
  <c r="H166"/>
  <c r="G28"/>
  <c r="F110"/>
  <c r="H110"/>
  <c r="H143"/>
  <c r="F397" i="25"/>
  <c r="E178" i="17"/>
  <c r="E181"/>
  <c r="G139"/>
  <c r="H112"/>
  <c r="G112"/>
  <c r="G136"/>
  <c r="E308" i="25"/>
  <c r="E650"/>
  <c r="E652"/>
  <c r="E646" s="1"/>
  <c r="E657"/>
  <c r="E147" i="17"/>
  <c r="E156"/>
  <c r="E167"/>
  <c r="E596" i="25"/>
  <c r="E658"/>
  <c r="E113" i="42"/>
  <c r="E16"/>
  <c r="E188" i="25"/>
  <c r="E194"/>
  <c r="E21" i="42"/>
  <c r="E23"/>
  <c r="E196" i="25"/>
  <c r="E202"/>
  <c r="E29" i="42"/>
  <c r="E62"/>
  <c r="E302" i="25"/>
  <c r="E66" i="42"/>
  <c r="E306" i="25"/>
  <c r="G37" i="17"/>
  <c r="E597" i="25"/>
  <c r="E38"/>
  <c r="E37" s="1"/>
  <c r="E67" i="42"/>
  <c r="E305" i="25"/>
  <c r="E63" i="42"/>
  <c r="E61"/>
  <c r="G12" i="17"/>
  <c r="E74" i="42"/>
  <c r="E599" i="25"/>
  <c r="G34" i="17"/>
  <c r="E186" i="25"/>
  <c r="E14" i="42"/>
  <c r="E190" i="25"/>
  <c r="E18" i="42"/>
  <c r="E31"/>
  <c r="E204" i="25"/>
  <c r="E213"/>
  <c r="E541"/>
  <c r="E540" s="1"/>
  <c r="E168" i="17"/>
  <c r="E177"/>
  <c r="G44"/>
  <c r="E192" i="25"/>
  <c r="E34" i="42"/>
  <c r="E33" s="1"/>
  <c r="E207" i="25"/>
  <c r="G207" s="1"/>
  <c r="E211"/>
  <c r="E215"/>
  <c r="E310"/>
  <c r="E70" i="42"/>
  <c r="E69" s="1"/>
  <c r="E72"/>
  <c r="E209" i="25"/>
  <c r="E47" i="17"/>
  <c r="E85"/>
  <c r="E185" i="25"/>
  <c r="E197"/>
  <c r="E24" i="42"/>
  <c r="E201" i="25"/>
  <c r="E28" i="42"/>
  <c r="E205" i="25"/>
  <c r="E32" i="42"/>
  <c r="E126" i="17"/>
  <c r="E456" i="25"/>
  <c r="G56" i="17"/>
  <c r="E401" i="25"/>
  <c r="G401"/>
  <c r="E338"/>
  <c r="G104" i="8"/>
  <c r="G71"/>
  <c r="F236" i="25"/>
  <c r="G236" s="1"/>
  <c r="E46" i="17"/>
  <c r="E109"/>
  <c r="F152" i="7"/>
  <c r="F403" i="25"/>
  <c r="G403" s="1"/>
  <c r="F555"/>
  <c r="H189" i="7"/>
  <c r="G56"/>
  <c r="G220"/>
  <c r="G99"/>
  <c r="G81"/>
  <c r="E522" i="25"/>
  <c r="E521" s="1"/>
  <c r="G11" i="7"/>
  <c r="E91"/>
  <c r="E123"/>
  <c r="H214"/>
  <c r="G200"/>
  <c r="F156" i="25"/>
  <c r="H32" i="7"/>
  <c r="F623" i="25"/>
  <c r="G32" i="7"/>
  <c r="G13"/>
  <c r="G95"/>
  <c r="H22"/>
  <c r="H83"/>
  <c r="F176" i="25"/>
  <c r="G214" i="7"/>
  <c r="H75"/>
  <c r="F322" i="25"/>
  <c r="F150" i="7"/>
  <c r="F165"/>
  <c r="F332" i="25"/>
  <c r="G190" i="7"/>
  <c r="F356" i="25"/>
  <c r="G356" s="1"/>
  <c r="H204" i="7"/>
  <c r="H121"/>
  <c r="G163"/>
  <c r="E112" i="25"/>
  <c r="E414"/>
  <c r="G5" i="7"/>
  <c r="H61"/>
  <c r="F60"/>
  <c r="F246" i="43"/>
  <c r="F191" i="7"/>
  <c r="H192"/>
  <c r="H196"/>
  <c r="E40" i="25"/>
  <c r="E145" i="7"/>
  <c r="H54" i="15"/>
  <c r="H52"/>
  <c r="F49"/>
  <c r="F51"/>
  <c r="E452" i="25"/>
  <c r="E589"/>
  <c r="E219" i="8"/>
  <c r="F358" i="25"/>
  <c r="G358"/>
  <c r="G196" i="8"/>
  <c r="E195"/>
  <c r="E473" i="43"/>
  <c r="E557" i="25"/>
  <c r="F162"/>
  <c r="G110" i="8"/>
  <c r="G11"/>
  <c r="F41" i="46"/>
  <c r="H41" s="1"/>
  <c r="F563" i="25"/>
  <c r="F575"/>
  <c r="F334"/>
  <c r="G334" s="1"/>
  <c r="E166"/>
  <c r="E163"/>
  <c r="G60" i="8"/>
  <c r="G92"/>
  <c r="F147" i="25"/>
  <c r="H24" i="46"/>
  <c r="G15"/>
  <c r="G116" i="13"/>
  <c r="F486" i="25"/>
  <c r="H34" i="13"/>
  <c r="G87"/>
  <c r="G145"/>
  <c r="G66"/>
  <c r="F161"/>
  <c r="G161"/>
  <c r="F323" i="25"/>
  <c r="F345"/>
  <c r="H66" i="13"/>
  <c r="G140"/>
  <c r="G70"/>
  <c r="H140"/>
  <c r="G113"/>
  <c r="F47"/>
  <c r="H47"/>
  <c r="G95"/>
  <c r="F139"/>
  <c r="H139"/>
  <c r="G149"/>
  <c r="G77"/>
  <c r="G64"/>
  <c r="G15"/>
  <c r="G83"/>
  <c r="G104"/>
  <c r="E152"/>
  <c r="G153"/>
  <c r="G122"/>
  <c r="E130"/>
  <c r="F490" i="25"/>
  <c r="G162" i="13"/>
  <c r="G36"/>
  <c r="H155"/>
  <c r="G44"/>
  <c r="E323" i="25"/>
  <c r="G32" i="13"/>
  <c r="G73"/>
  <c r="G5"/>
  <c r="G55"/>
  <c r="D196"/>
  <c r="G164"/>
  <c r="G126"/>
  <c r="G131"/>
  <c r="G135"/>
  <c r="E318" i="25"/>
  <c r="G89" i="13"/>
  <c r="G79"/>
  <c r="E110"/>
  <c r="G137"/>
  <c r="G28"/>
  <c r="F381" i="25"/>
  <c r="F380" s="1"/>
  <c r="G380" s="1"/>
  <c r="H58" i="13"/>
  <c r="F177" i="25"/>
  <c r="G177" s="1"/>
  <c r="F121"/>
  <c r="F38" i="13"/>
  <c r="G38"/>
  <c r="H39"/>
  <c r="G39"/>
  <c r="F333" i="25"/>
  <c r="H69" i="13"/>
  <c r="G69"/>
  <c r="F641" i="25"/>
  <c r="G641" s="1"/>
  <c r="G114" i="13"/>
  <c r="H10"/>
  <c r="H159"/>
  <c r="H44"/>
  <c r="F142" i="25"/>
  <c r="G142" s="1"/>
  <c r="F100" i="13"/>
  <c r="H100"/>
  <c r="G93"/>
  <c r="E3"/>
  <c r="G41"/>
  <c r="H149"/>
  <c r="F588" i="25"/>
  <c r="F586"/>
  <c r="G13" i="13"/>
  <c r="G63"/>
  <c r="G31"/>
  <c r="G169"/>
  <c r="H31"/>
  <c r="F168"/>
  <c r="G168"/>
  <c r="F105" i="25"/>
  <c r="F165"/>
  <c r="E75"/>
  <c r="E381"/>
  <c r="F118" i="13"/>
  <c r="F11"/>
  <c r="F61" i="43"/>
  <c r="G119" i="13"/>
  <c r="F157" i="25"/>
  <c r="H51" i="13"/>
  <c r="G75"/>
  <c r="E61"/>
  <c r="G22"/>
  <c r="G47"/>
  <c r="F94" i="7"/>
  <c r="G94"/>
  <c r="H95"/>
  <c r="H11"/>
  <c r="F62" i="25"/>
  <c r="H60" i="7"/>
  <c r="H10"/>
  <c r="G50"/>
  <c r="F160" i="25"/>
  <c r="H94" i="7"/>
  <c r="E209" i="8"/>
  <c r="G209"/>
  <c r="F59" i="25"/>
  <c r="G59"/>
  <c r="G10" i="13"/>
  <c r="G118"/>
  <c r="E43"/>
  <c r="H38"/>
  <c r="H11"/>
  <c r="E555" i="25"/>
  <c r="F66" i="15"/>
  <c r="G23" i="46"/>
  <c r="F385" i="25"/>
  <c r="G61" i="46"/>
  <c r="E52"/>
  <c r="E62"/>
  <c r="G8" i="8"/>
  <c r="G167"/>
  <c r="F11" i="46"/>
  <c r="G72" i="8"/>
  <c r="E67"/>
  <c r="E6" i="46"/>
  <c r="E7"/>
  <c r="G10"/>
  <c r="G88" i="8"/>
  <c r="G55" i="46"/>
  <c r="E229" i="25"/>
  <c r="F239"/>
  <c r="F158"/>
  <c r="G113" i="8"/>
  <c r="G26" i="46"/>
  <c r="H11"/>
  <c r="F589" i="25"/>
  <c r="H19" i="46"/>
  <c r="G19"/>
  <c r="F21"/>
  <c r="G82" i="8"/>
  <c r="F25" i="46"/>
  <c r="H25"/>
  <c r="G86" i="8"/>
  <c r="G151"/>
  <c r="F165"/>
  <c r="G165"/>
  <c r="E29" i="46"/>
  <c r="G29"/>
  <c r="G90" i="8"/>
  <c r="E484" i="25"/>
  <c r="E483" s="1"/>
  <c r="G163" i="8"/>
  <c r="E41" i="46"/>
  <c r="E47" s="1"/>
  <c r="G42"/>
  <c r="H34"/>
  <c r="G34"/>
  <c r="G30"/>
  <c r="H30"/>
  <c r="G24"/>
  <c r="F325" i="25"/>
  <c r="G325" s="1"/>
  <c r="H28" i="46"/>
  <c r="G28"/>
  <c r="F5"/>
  <c r="F3" s="1"/>
  <c r="G66" i="8"/>
  <c r="F64"/>
  <c r="F225" i="25"/>
  <c r="E49" i="8"/>
  <c r="E63"/>
  <c r="G63"/>
  <c r="G50"/>
  <c r="F188"/>
  <c r="G11" i="46"/>
  <c r="G53"/>
  <c r="G77" i="8"/>
  <c r="H37" i="46"/>
  <c r="G13"/>
  <c r="G199" i="8"/>
  <c r="G17" i="46"/>
  <c r="G189" i="8"/>
  <c r="F36" i="46"/>
  <c r="H36" s="1"/>
  <c r="G202" i="8"/>
  <c r="G181"/>
  <c r="D235"/>
  <c r="G41"/>
  <c r="G26"/>
  <c r="G47"/>
  <c r="G36"/>
  <c r="G166"/>
  <c r="G50" i="46"/>
  <c r="G49" i="8"/>
  <c r="G4"/>
  <c r="G34"/>
  <c r="G43"/>
  <c r="G5" i="46"/>
  <c r="F3" i="8"/>
  <c r="F42" i="43"/>
  <c r="G169" i="8"/>
  <c r="G183"/>
  <c r="G223"/>
  <c r="F346" i="25"/>
  <c r="G157" i="8"/>
  <c r="E281" i="25"/>
  <c r="E279"/>
  <c r="E33" i="46"/>
  <c r="E138" i="8"/>
  <c r="G138"/>
  <c r="G142"/>
  <c r="F105"/>
  <c r="F137"/>
  <c r="G106"/>
  <c r="F338" i="25"/>
  <c r="G338" s="1"/>
  <c r="E325"/>
  <c r="E105" i="8"/>
  <c r="G126"/>
  <c r="G38"/>
  <c r="G13"/>
  <c r="F226"/>
  <c r="G226"/>
  <c r="G193"/>
  <c r="F14" i="46"/>
  <c r="H14" s="1"/>
  <c r="G14"/>
  <c r="H3"/>
  <c r="F229" i="25"/>
  <c r="G229"/>
  <c r="F67" i="8"/>
  <c r="G210"/>
  <c r="F216"/>
  <c r="G15"/>
  <c r="F63"/>
  <c r="G46"/>
  <c r="F76" i="25"/>
  <c r="G76"/>
  <c r="F12" i="46"/>
  <c r="G12"/>
  <c r="G73" i="8"/>
  <c r="G31" i="46"/>
  <c r="G16"/>
  <c r="E38"/>
  <c r="G39"/>
  <c r="E290" i="25"/>
  <c r="G290" s="1"/>
  <c r="G99" i="8"/>
  <c r="E44" i="25"/>
  <c r="E3" i="8"/>
  <c r="E45"/>
  <c r="E102"/>
  <c r="E248" i="43"/>
  <c r="E137" i="8"/>
  <c r="E188"/>
  <c r="G203"/>
  <c r="G214"/>
  <c r="G160"/>
  <c r="E150"/>
  <c r="H18" i="46"/>
  <c r="G18"/>
  <c r="F571" i="25"/>
  <c r="G571" s="1"/>
  <c r="G201" i="8"/>
  <c r="G123"/>
  <c r="G57"/>
  <c r="G119"/>
  <c r="G80"/>
  <c r="G22"/>
  <c r="G154"/>
  <c r="F178" i="25"/>
  <c r="G178" s="1"/>
  <c r="G173" i="8"/>
  <c r="E354" i="25"/>
  <c r="H12" i="46"/>
  <c r="H32"/>
  <c r="G32"/>
  <c r="E64" i="8"/>
  <c r="E178" i="43"/>
  <c r="G65" i="8"/>
  <c r="G102"/>
  <c r="E505" i="25"/>
  <c r="E504"/>
  <c r="G67" i="8"/>
  <c r="G220"/>
  <c r="G103"/>
  <c r="E165"/>
  <c r="G195"/>
  <c r="E147" i="25"/>
  <c r="G68" i="8"/>
  <c r="G132"/>
  <c r="F6" i="46"/>
  <c r="G6"/>
  <c r="H4"/>
  <c r="G49"/>
  <c r="F60" i="25"/>
  <c r="F57"/>
  <c r="E385"/>
  <c r="E4" i="46"/>
  <c r="G10" i="8"/>
  <c r="F7" i="46"/>
  <c r="H7"/>
  <c r="F219" i="8"/>
  <c r="G219"/>
  <c r="G175"/>
  <c r="F33" i="46"/>
  <c r="H33"/>
  <c r="G94" i="8"/>
  <c r="H27" i="46"/>
  <c r="G27"/>
  <c r="G171" i="8"/>
  <c r="G53"/>
  <c r="G186"/>
  <c r="G52" i="46"/>
  <c r="F478" i="25"/>
  <c r="G3" i="15"/>
  <c r="F177" i="43"/>
  <c r="H4" i="15"/>
  <c r="I4"/>
  <c r="G48" i="46"/>
  <c r="G22"/>
  <c r="G20"/>
  <c r="G3" i="8"/>
  <c r="G188"/>
  <c r="E319" i="25"/>
  <c r="H6" i="46"/>
  <c r="E225" i="25"/>
  <c r="G64" i="8"/>
  <c r="F227"/>
  <c r="G33" i="46"/>
  <c r="I3" i="15"/>
  <c r="F224" i="25"/>
  <c r="G39" i="17"/>
  <c r="G110"/>
  <c r="G137"/>
  <c r="E4" i="42"/>
  <c r="E3"/>
  <c r="F145" i="17"/>
  <c r="F146"/>
  <c r="G20"/>
  <c r="G24"/>
  <c r="E166"/>
  <c r="G166"/>
  <c r="G129"/>
  <c r="G529" i="25"/>
  <c r="F543"/>
  <c r="F542" s="1"/>
  <c r="G542" s="1"/>
  <c r="G135" i="17"/>
  <c r="E525" i="25"/>
  <c r="G525"/>
  <c r="H145" i="17"/>
  <c r="G157"/>
  <c r="E17" i="25"/>
  <c r="E16"/>
  <c r="G133" i="17"/>
  <c r="G138"/>
  <c r="G127"/>
  <c r="E245" i="25"/>
  <c r="E500"/>
  <c r="G517"/>
  <c r="G494"/>
  <c r="G578"/>
  <c r="E133" i="39"/>
  <c r="F72" i="42"/>
  <c r="G72" s="1"/>
  <c r="F211" i="25"/>
  <c r="G211"/>
  <c r="E38" i="39"/>
  <c r="G62" i="17"/>
  <c r="F171"/>
  <c r="F104" i="42"/>
  <c r="E129" i="39"/>
  <c r="F647" i="25"/>
  <c r="F178" i="17"/>
  <c r="F181"/>
  <c r="G181" s="1"/>
  <c r="G179"/>
  <c r="F42"/>
  <c r="G42" s="1"/>
  <c r="G72"/>
  <c r="E137" i="39"/>
  <c r="F149" i="17" s="1"/>
  <c r="G149" s="1"/>
  <c r="D680" i="25"/>
  <c r="E739"/>
  <c r="F113" i="17"/>
  <c r="H327" i="43"/>
  <c r="F198" i="25"/>
  <c r="G198"/>
  <c r="F650"/>
  <c r="G172" i="17"/>
  <c r="H59"/>
  <c r="F41"/>
  <c r="F135" i="25"/>
  <c r="G135" s="1"/>
  <c r="E4" i="39"/>
  <c r="D54"/>
  <c r="E53"/>
  <c r="F653" i="25"/>
  <c r="F216"/>
  <c r="G216"/>
  <c r="G79" i="17"/>
  <c r="F652" i="25"/>
  <c r="F26" i="39"/>
  <c r="G78" i="17"/>
  <c r="G76"/>
  <c r="F213" i="25"/>
  <c r="G213" s="1"/>
  <c r="E44" i="39"/>
  <c r="G104" i="17"/>
  <c r="F196" i="25"/>
  <c r="G196" s="1"/>
  <c r="F73" i="42"/>
  <c r="G73"/>
  <c r="G107" i="17"/>
  <c r="G73"/>
  <c r="F210" i="25"/>
  <c r="G210"/>
  <c r="F113" i="42"/>
  <c r="G113" s="1"/>
  <c r="G180" i="17"/>
  <c r="F208" i="25"/>
  <c r="G71" i="17"/>
  <c r="G74"/>
  <c r="G75"/>
  <c r="G175"/>
  <c r="F212" i="25"/>
  <c r="F310"/>
  <c r="G310" s="1"/>
  <c r="F70" i="42"/>
  <c r="F71"/>
  <c r="G71"/>
  <c r="F311" i="25"/>
  <c r="G311" s="1"/>
  <c r="G105" i="17"/>
  <c r="F207" i="25"/>
  <c r="F214"/>
  <c r="F60" i="17"/>
  <c r="G60"/>
  <c r="F67"/>
  <c r="F31" i="42" s="1"/>
  <c r="G31"/>
  <c r="F65" i="17"/>
  <c r="F202" i="25"/>
  <c r="G202" s="1"/>
  <c r="F68" i="17"/>
  <c r="F205" i="25"/>
  <c r="G205" s="1"/>
  <c r="F66" i="17"/>
  <c r="F30" i="42"/>
  <c r="G30"/>
  <c r="G64" i="17"/>
  <c r="F201" i="25"/>
  <c r="F28" i="42"/>
  <c r="C115" i="39"/>
  <c r="F36" i="17"/>
  <c r="G5"/>
  <c r="H43"/>
  <c r="F137" i="25"/>
  <c r="G137" s="1"/>
  <c r="G171" i="17"/>
  <c r="H113"/>
  <c r="F95"/>
  <c r="E54" i="39"/>
  <c r="F96" i="17"/>
  <c r="F302" i="25"/>
  <c r="D55" i="39"/>
  <c r="F203" i="25"/>
  <c r="G203" s="1"/>
  <c r="G66" i="17"/>
  <c r="D56" i="39"/>
  <c r="E55"/>
  <c r="F97" i="17"/>
  <c r="F303" i="25"/>
  <c r="G96" i="17"/>
  <c r="F63" i="42"/>
  <c r="G63" s="1"/>
  <c r="F62"/>
  <c r="E56" i="39"/>
  <c r="D57"/>
  <c r="D58"/>
  <c r="E58"/>
  <c r="F100" i="17"/>
  <c r="F306" i="25"/>
  <c r="G306" s="1"/>
  <c r="F98" i="17"/>
  <c r="F304" i="25"/>
  <c r="G304" s="1"/>
  <c r="F64" i="42"/>
  <c r="G64"/>
  <c r="G98" i="17"/>
  <c r="G100"/>
  <c r="G100" i="7"/>
  <c r="G197"/>
  <c r="G83"/>
  <c r="H124"/>
  <c r="G124"/>
  <c r="H34"/>
  <c r="G34"/>
  <c r="H73"/>
  <c r="G73"/>
  <c r="H40"/>
  <c r="G40"/>
  <c r="F39"/>
  <c r="E418" i="25"/>
  <c r="E417"/>
  <c r="G106" i="7"/>
  <c r="F477" i="25"/>
  <c r="G143" i="7"/>
  <c r="E559" i="25"/>
  <c r="E558" s="1"/>
  <c r="F7" i="7"/>
  <c r="F45" i="43"/>
  <c r="F48" i="25"/>
  <c r="G210" i="7"/>
  <c r="F128" i="25"/>
  <c r="G128"/>
  <c r="G88" i="7"/>
  <c r="G113"/>
  <c r="G8"/>
  <c r="G115"/>
  <c r="H115"/>
  <c r="F74" i="25"/>
  <c r="F73" s="1"/>
  <c r="G15" i="7"/>
  <c r="E219"/>
  <c r="G219"/>
  <c r="G217"/>
  <c r="F404" i="25"/>
  <c r="G96" i="7"/>
  <c r="F187"/>
  <c r="G183"/>
  <c r="G212"/>
  <c r="G22"/>
  <c r="G169"/>
  <c r="G180"/>
  <c r="G75"/>
  <c r="H191"/>
  <c r="G191"/>
  <c r="G152"/>
  <c r="F475" i="25"/>
  <c r="G475" s="1"/>
  <c r="G141" i="7"/>
  <c r="E753" i="25"/>
  <c r="E755" s="1"/>
  <c r="G146" i="7"/>
  <c r="E165"/>
  <c r="G148"/>
  <c r="F91"/>
  <c r="G92"/>
  <c r="F400" i="25"/>
  <c r="F399" s="1"/>
  <c r="G400"/>
  <c r="H92" i="7"/>
  <c r="F336" i="25"/>
  <c r="G336"/>
  <c r="G68" i="7"/>
  <c r="F569" i="25"/>
  <c r="F568"/>
  <c r="H195" i="7"/>
  <c r="G195"/>
  <c r="G202"/>
  <c r="F591" i="25"/>
  <c r="F590" s="1"/>
  <c r="E6" i="7"/>
  <c r="E41"/>
  <c r="E317" i="25"/>
  <c r="E316"/>
  <c r="E90" i="7"/>
  <c r="E84" i="25"/>
  <c r="H68" i="7"/>
  <c r="G85"/>
  <c r="G161"/>
  <c r="H202"/>
  <c r="H24"/>
  <c r="G24"/>
  <c r="G189"/>
  <c r="E74" i="25"/>
  <c r="E73" s="1"/>
  <c r="G192" i="7"/>
  <c r="F559" i="25"/>
  <c r="G77" i="7"/>
  <c r="G71"/>
  <c r="G157"/>
  <c r="G187"/>
  <c r="F182"/>
  <c r="G182"/>
  <c r="G166"/>
  <c r="G53"/>
  <c r="F227"/>
  <c r="G223"/>
  <c r="H30"/>
  <c r="G30"/>
  <c r="G104"/>
  <c r="H104"/>
  <c r="F414" i="25"/>
  <c r="F413" s="1"/>
  <c r="H36" i="7"/>
  <c r="G36"/>
  <c r="G4"/>
  <c r="F3"/>
  <c r="G10"/>
  <c r="F58" i="25"/>
  <c r="F203" i="7"/>
  <c r="H4"/>
  <c r="G102"/>
  <c r="H223"/>
  <c r="G150"/>
  <c r="H50"/>
  <c r="H26"/>
  <c r="H77"/>
  <c r="H17"/>
  <c r="G17"/>
  <c r="H69"/>
  <c r="G69"/>
  <c r="H56"/>
  <c r="E136"/>
  <c r="G128"/>
  <c r="H67"/>
  <c r="G98"/>
  <c r="F408" i="25"/>
  <c r="F407"/>
  <c r="G407" s="1"/>
  <c r="F573"/>
  <c r="F572"/>
  <c r="G196" i="7"/>
  <c r="F505" i="25"/>
  <c r="E145"/>
  <c r="E144"/>
  <c r="E45" i="7"/>
  <c r="E59"/>
  <c r="F520" i="25"/>
  <c r="F519"/>
  <c r="G519" s="1"/>
  <c r="G178" i="7"/>
  <c r="E613" i="25"/>
  <c r="E611"/>
  <c r="E216" i="7"/>
  <c r="G208"/>
  <c r="F613" i="25"/>
  <c r="F611"/>
  <c r="F216" i="7"/>
  <c r="G216"/>
  <c r="E610" i="25"/>
  <c r="G206" i="7"/>
  <c r="F47" i="25"/>
  <c r="F6" i="7"/>
  <c r="G6"/>
  <c r="G7"/>
  <c r="H7"/>
  <c r="G49"/>
  <c r="H49"/>
  <c r="F145" i="25"/>
  <c r="F45" i="7"/>
  <c r="G46"/>
  <c r="H46"/>
  <c r="F145"/>
  <c r="G145"/>
  <c r="G137"/>
  <c r="F469" i="25"/>
  <c r="F467" s="1"/>
  <c r="G469"/>
  <c r="G165" i="7"/>
  <c r="H39"/>
  <c r="G39"/>
  <c r="G91"/>
  <c r="H216"/>
  <c r="G227"/>
  <c r="H6"/>
  <c r="G86" i="25"/>
  <c r="G419"/>
  <c r="G589"/>
  <c r="E264"/>
  <c r="G19"/>
  <c r="G72"/>
  <c r="G154"/>
  <c r="G643"/>
  <c r="F405"/>
  <c r="F744" s="1"/>
  <c r="H744" s="1"/>
  <c r="G429"/>
  <c r="E270"/>
  <c r="E473"/>
  <c r="G514"/>
  <c r="G181"/>
  <c r="G148"/>
  <c r="G360"/>
  <c r="G344"/>
  <c r="E507"/>
  <c r="E513"/>
  <c r="G652"/>
  <c r="G349"/>
  <c r="G333"/>
  <c r="G38"/>
  <c r="G251"/>
  <c r="G129"/>
  <c r="G52"/>
  <c r="E373"/>
  <c r="G560"/>
  <c r="G370"/>
  <c r="G533"/>
  <c r="D686"/>
  <c r="D674"/>
  <c r="E467"/>
  <c r="F159"/>
  <c r="G37"/>
  <c r="G246"/>
  <c r="E369"/>
  <c r="G377"/>
  <c r="G435"/>
  <c r="G60"/>
  <c r="G146"/>
  <c r="F127"/>
  <c r="E380"/>
  <c r="E347"/>
  <c r="G79"/>
  <c r="G80"/>
  <c r="E107"/>
  <c r="F526"/>
  <c r="F536" s="1"/>
  <c r="G536" s="1"/>
  <c r="F151"/>
  <c r="F729" s="1"/>
  <c r="F171" i="13"/>
  <c r="H171"/>
  <c r="F605" i="25"/>
  <c r="E616"/>
  <c r="F616"/>
  <c r="G616"/>
  <c r="E172" i="13"/>
  <c r="G155"/>
  <c r="E588" i="25"/>
  <c r="G588" s="1"/>
  <c r="E586"/>
  <c r="H101" i="13"/>
  <c r="G128"/>
  <c r="H98"/>
  <c r="E100"/>
  <c r="E136"/>
  <c r="E173"/>
  <c r="G341" i="25"/>
  <c r="G71" i="13"/>
  <c r="G62"/>
  <c r="H62"/>
  <c r="F61"/>
  <c r="H61"/>
  <c r="G26"/>
  <c r="G3"/>
  <c r="F42" i="25"/>
  <c r="G42" s="1"/>
  <c r="G487"/>
  <c r="F130" i="13"/>
  <c r="G171"/>
  <c r="G61"/>
  <c r="G26" i="42"/>
  <c r="G40"/>
  <c r="E76"/>
  <c r="E88"/>
  <c r="G23"/>
  <c r="E90"/>
  <c r="E99" s="1"/>
  <c r="E100" s="1"/>
  <c r="G62"/>
  <c r="G104"/>
  <c r="G28"/>
  <c r="G35"/>
  <c r="G108"/>
  <c r="G41"/>
  <c r="E101"/>
  <c r="E111"/>
  <c r="E114" s="1"/>
  <c r="G38"/>
  <c r="E141" i="17"/>
  <c r="G508" i="25"/>
  <c r="G420"/>
  <c r="G581"/>
  <c r="G482"/>
  <c r="G520"/>
  <c r="G31"/>
  <c r="G62"/>
  <c r="G157"/>
  <c r="G575"/>
  <c r="E140"/>
  <c r="E728" s="1"/>
  <c r="H728" s="1"/>
  <c r="E247"/>
  <c r="G623"/>
  <c r="E61"/>
  <c r="F359"/>
  <c r="G359" s="1"/>
  <c r="G615"/>
  <c r="E267"/>
  <c r="E259"/>
  <c r="G259" s="1"/>
  <c r="E256"/>
  <c r="G445"/>
  <c r="G368"/>
  <c r="G363"/>
  <c r="E339"/>
  <c r="G174"/>
  <c r="E92"/>
  <c r="G592"/>
  <c r="E237"/>
  <c r="E123"/>
  <c r="E725"/>
  <c r="G566"/>
  <c r="G563"/>
  <c r="E402"/>
  <c r="E57"/>
  <c r="E53"/>
  <c r="E724" s="1"/>
  <c r="G724" s="1"/>
  <c r="G617"/>
  <c r="G265"/>
  <c r="F171"/>
  <c r="G168"/>
  <c r="G443"/>
  <c r="G593"/>
  <c r="G579"/>
  <c r="G374"/>
  <c r="F369"/>
  <c r="G369" s="1"/>
  <c r="F343"/>
  <c r="G120"/>
  <c r="G82"/>
  <c r="G152"/>
  <c r="G150"/>
  <c r="F231"/>
  <c r="F734" s="1"/>
  <c r="G330"/>
  <c r="G406"/>
  <c r="E640"/>
  <c r="G7"/>
  <c r="G85"/>
  <c r="G87"/>
  <c r="G441"/>
  <c r="G388"/>
  <c r="F28"/>
  <c r="G28" s="1"/>
  <c r="E614"/>
  <c r="G642"/>
  <c r="E605"/>
  <c r="G283"/>
  <c r="G416"/>
  <c r="F622"/>
  <c r="E749"/>
  <c r="F432"/>
  <c r="G432"/>
  <c r="F65"/>
  <c r="F92"/>
  <c r="G92" s="1"/>
  <c r="G276"/>
  <c r="G125"/>
  <c r="G58"/>
  <c r="F750"/>
  <c r="G410"/>
  <c r="G232"/>
  <c r="G158"/>
  <c r="G105"/>
  <c r="F489"/>
  <c r="G489" s="1"/>
  <c r="G490"/>
  <c r="G162"/>
  <c r="G332"/>
  <c r="G409"/>
  <c r="G423"/>
  <c r="G404"/>
  <c r="G214"/>
  <c r="G651"/>
  <c r="G147"/>
  <c r="G239"/>
  <c r="E155"/>
  <c r="E159"/>
  <c r="G109"/>
  <c r="G607"/>
  <c r="G260"/>
  <c r="G101"/>
  <c r="G364"/>
  <c r="G328"/>
  <c r="G54"/>
  <c r="G619"/>
  <c r="G280"/>
  <c r="F242"/>
  <c r="F421"/>
  <c r="G411"/>
  <c r="G384"/>
  <c r="G371"/>
  <c r="G93"/>
  <c r="G90"/>
  <c r="G81"/>
  <c r="G66"/>
  <c r="F53"/>
  <c r="F724" s="1"/>
  <c r="G149"/>
  <c r="F282"/>
  <c r="F327"/>
  <c r="F739" s="1"/>
  <c r="G628"/>
  <c r="F5"/>
  <c r="E705" s="1"/>
  <c r="G631"/>
  <c r="G255"/>
  <c r="G261"/>
  <c r="G263"/>
  <c r="G269"/>
  <c r="G272"/>
  <c r="G275"/>
  <c r="E276"/>
  <c r="G284"/>
  <c r="G287"/>
  <c r="G442"/>
  <c r="E526"/>
  <c r="G532"/>
  <c r="G534"/>
  <c r="G396"/>
  <c r="E12" i="42"/>
  <c r="E656" i="25"/>
  <c r="E659" s="1"/>
  <c r="G48" i="42"/>
  <c r="G35" i="25"/>
  <c r="G4"/>
  <c r="G18"/>
  <c r="G208"/>
  <c r="F395"/>
  <c r="F398" s="1"/>
  <c r="G398" s="1"/>
  <c r="G397"/>
  <c r="E50" i="42"/>
  <c r="E75"/>
  <c r="G219" i="25"/>
  <c r="E398"/>
  <c r="G170" i="17"/>
  <c r="F648" i="25"/>
  <c r="F314"/>
  <c r="G314" s="1"/>
  <c r="G108" i="17"/>
  <c r="D109" i="42"/>
  <c r="B127" i="39"/>
  <c r="F103" i="17"/>
  <c r="G103"/>
  <c r="D57" i="42"/>
  <c r="B51" i="39"/>
  <c r="D107" i="42"/>
  <c r="B125" i="39"/>
  <c r="D105" i="42"/>
  <c r="B123" i="39"/>
  <c r="D103" i="42"/>
  <c r="B121" i="39"/>
  <c r="F58" i="42"/>
  <c r="G58" s="1"/>
  <c r="G94" i="17"/>
  <c r="F300" i="25"/>
  <c r="G300"/>
  <c r="G124" i="17"/>
  <c r="G10" i="42"/>
  <c r="F649" i="25"/>
  <c r="G649"/>
  <c r="F206"/>
  <c r="F313"/>
  <c r="F74" i="42"/>
  <c r="G74" s="1"/>
  <c r="F60"/>
  <c r="G60"/>
  <c r="G221" i="25"/>
  <c r="G34" i="42"/>
  <c r="G70" i="17"/>
  <c r="F106" i="42"/>
  <c r="G106" s="1"/>
  <c r="G173" i="17"/>
  <c r="F112" i="42"/>
  <c r="G112" s="1"/>
  <c r="F657" i="25"/>
  <c r="G657" s="1"/>
  <c r="D56" i="42"/>
  <c r="B50" i="39"/>
  <c r="G63" i="17"/>
  <c r="D108" i="42"/>
  <c r="B126" i="39"/>
  <c r="D106" i="42"/>
  <c r="B124" i="39"/>
  <c r="D104" i="42"/>
  <c r="B122" i="39"/>
  <c r="F102" i="42"/>
  <c r="G102" s="1"/>
  <c r="F107"/>
  <c r="G107"/>
  <c r="G653" i="25"/>
  <c r="G650"/>
  <c r="G43" i="42"/>
  <c r="E6"/>
  <c r="E11" s="1"/>
  <c r="E89" s="1"/>
  <c r="E116" s="1"/>
  <c r="G46"/>
  <c r="G44"/>
  <c r="F8" i="25"/>
  <c r="F69" i="17"/>
  <c r="F36" i="42"/>
  <c r="G97" i="17"/>
  <c r="F103" i="42"/>
  <c r="G45"/>
  <c r="F42"/>
  <c r="G42"/>
  <c r="E455" i="25"/>
  <c r="E184"/>
  <c r="G6"/>
  <c r="E632"/>
  <c r="E627"/>
  <c r="E636"/>
  <c r="G629"/>
  <c r="G630"/>
  <c r="E744"/>
  <c r="G405"/>
  <c r="F402"/>
  <c r="E226"/>
  <c r="E179"/>
  <c r="E730" s="1"/>
  <c r="F614"/>
  <c r="G614" s="1"/>
  <c r="G379"/>
  <c r="G375"/>
  <c r="G366"/>
  <c r="G122"/>
  <c r="G99"/>
  <c r="G95"/>
  <c r="G124"/>
  <c r="G161"/>
  <c r="G337"/>
  <c r="G209"/>
  <c r="E644"/>
  <c r="G102"/>
  <c r="F640"/>
  <c r="G640" s="1"/>
  <c r="G23"/>
  <c r="G557"/>
  <c r="E206"/>
  <c r="E222" s="1"/>
  <c r="G271"/>
  <c r="E331"/>
  <c r="E242"/>
  <c r="G242"/>
  <c r="G264"/>
  <c r="E288"/>
  <c r="G357"/>
  <c r="G507"/>
  <c r="G50"/>
  <c r="G303"/>
  <c r="G312"/>
  <c r="E39"/>
  <c r="G500"/>
  <c r="F495"/>
  <c r="G639"/>
  <c r="E376"/>
  <c r="G402"/>
  <c r="G53"/>
  <c r="G569"/>
  <c r="G323"/>
  <c r="E320"/>
  <c r="G233"/>
  <c r="E231"/>
  <c r="E292"/>
  <c r="F390"/>
  <c r="G390" s="1"/>
  <c r="G391"/>
  <c r="G253"/>
  <c r="G254"/>
  <c r="E550"/>
  <c r="E582"/>
  <c r="E576"/>
  <c r="G577"/>
  <c r="E138"/>
  <c r="G138"/>
  <c r="G139"/>
  <c r="E568"/>
  <c r="F632"/>
  <c r="G632"/>
  <c r="G621"/>
  <c r="G268"/>
  <c r="G257"/>
  <c r="F256"/>
  <c r="G256"/>
  <c r="F115"/>
  <c r="F77"/>
  <c r="G78"/>
  <c r="G182"/>
  <c r="F735"/>
  <c r="H735"/>
  <c r="G282"/>
  <c r="E32"/>
  <c r="G32"/>
  <c r="G33"/>
  <c r="E14"/>
  <c r="G14"/>
  <c r="G15"/>
  <c r="G468"/>
  <c r="G467"/>
  <c r="G512"/>
  <c r="E510"/>
  <c r="E546"/>
  <c r="G546"/>
  <c r="G547"/>
  <c r="F491"/>
  <c r="G492"/>
  <c r="G518"/>
  <c r="F424"/>
  <c r="G424"/>
  <c r="G425"/>
  <c r="E618"/>
  <c r="F365"/>
  <c r="G329"/>
  <c r="G584"/>
  <c r="F155"/>
  <c r="G155" s="1"/>
  <c r="F439"/>
  <c r="G160"/>
  <c r="G647"/>
  <c r="G348"/>
  <c r="G381"/>
  <c r="G166"/>
  <c r="F656"/>
  <c r="G127"/>
  <c r="G55"/>
  <c r="F88"/>
  <c r="G88" s="1"/>
  <c r="F288"/>
  <c r="G288" s="1"/>
  <c r="E572"/>
  <c r="G572" s="1"/>
  <c r="G530"/>
  <c r="F510"/>
  <c r="G510"/>
  <c r="F22"/>
  <c r="G22" s="1"/>
  <c r="G591"/>
  <c r="G613"/>
  <c r="F376"/>
  <c r="G376" s="1"/>
  <c r="G156"/>
  <c r="F331"/>
  <c r="G331"/>
  <c r="F373"/>
  <c r="G373" s="1"/>
  <c r="F267"/>
  <c r="G267" s="1"/>
  <c r="G541"/>
  <c r="F355"/>
  <c r="G244"/>
  <c r="E5"/>
  <c r="G501"/>
  <c r="G573"/>
  <c r="E608"/>
  <c r="G610"/>
  <c r="G408"/>
  <c r="E590"/>
  <c r="E750" s="1"/>
  <c r="F516"/>
  <c r="G638"/>
  <c r="G180"/>
  <c r="G73"/>
  <c r="G74"/>
  <c r="G412"/>
  <c r="G437"/>
  <c r="G243"/>
  <c r="F618"/>
  <c r="G266"/>
  <c r="G611"/>
  <c r="G212"/>
  <c r="E382"/>
  <c r="G342"/>
  <c r="G118"/>
  <c r="G440"/>
  <c r="G567"/>
  <c r="G26"/>
  <c r="G27"/>
  <c r="G30"/>
  <c r="G130"/>
  <c r="E234"/>
  <c r="E151"/>
  <c r="E729" s="1"/>
  <c r="G245"/>
  <c r="G220"/>
  <c r="G436"/>
  <c r="G531"/>
  <c r="G217"/>
  <c r="B45" i="39"/>
  <c r="B46"/>
  <c r="B47"/>
  <c r="B48"/>
  <c r="B49"/>
  <c r="B120"/>
  <c r="F430" i="25"/>
  <c r="D58" i="42"/>
  <c r="B52" i="39"/>
  <c r="E399" i="25"/>
  <c r="E743" s="1"/>
  <c r="H743" s="1"/>
  <c r="H747" s="1"/>
  <c r="H17" i="13"/>
  <c r="G637" i="25"/>
  <c r="H227" i="7"/>
  <c r="E142" i="17"/>
  <c r="H739" i="25"/>
  <c r="G327"/>
  <c r="F69" i="42"/>
  <c r="G69" s="1"/>
  <c r="G648" i="25"/>
  <c r="F111" i="42"/>
  <c r="F114" s="1"/>
  <c r="G114" s="1"/>
  <c r="G111"/>
  <c r="G313" i="25"/>
  <c r="G103" i="42"/>
  <c r="G69" i="17"/>
  <c r="H69"/>
  <c r="G491" i="25"/>
  <c r="F730"/>
  <c r="H730" s="1"/>
  <c r="E734"/>
  <c r="G231"/>
  <c r="H423" i="43"/>
  <c r="H188" i="8"/>
  <c r="E3" i="46"/>
  <c r="G3"/>
  <c r="G4"/>
  <c r="G38"/>
  <c r="G41"/>
  <c r="G326" i="25"/>
  <c r="G541" i="43"/>
  <c r="G549"/>
  <c r="G135"/>
  <c r="G138"/>
  <c r="F328"/>
  <c r="E403"/>
  <c r="G482"/>
  <c r="G491"/>
  <c r="G495"/>
  <c r="G27"/>
  <c r="G53"/>
  <c r="G56"/>
  <c r="G58"/>
  <c r="D596"/>
  <c r="G11"/>
  <c r="G77"/>
  <c r="G79"/>
  <c r="G81"/>
  <c r="G82"/>
  <c r="G89"/>
  <c r="G92"/>
  <c r="G97"/>
  <c r="G99"/>
  <c r="G104"/>
  <c r="G169"/>
  <c r="G189"/>
  <c r="G321"/>
  <c r="G330"/>
  <c r="G389"/>
  <c r="G446"/>
  <c r="G448"/>
  <c r="G450"/>
  <c r="G452"/>
  <c r="G19"/>
  <c r="G69"/>
  <c r="G115"/>
  <c r="G118"/>
  <c r="G120"/>
  <c r="G145"/>
  <c r="G150"/>
  <c r="G186"/>
  <c r="G206"/>
  <c r="G208"/>
  <c r="G225"/>
  <c r="G255"/>
  <c r="G258"/>
  <c r="G262"/>
  <c r="G267"/>
  <c r="G271"/>
  <c r="G286"/>
  <c r="G307"/>
  <c r="G392"/>
  <c r="G432"/>
  <c r="G433"/>
  <c r="G435"/>
  <c r="G508"/>
  <c r="G34"/>
  <c r="G7"/>
  <c r="G10"/>
  <c r="G15"/>
  <c r="G23"/>
  <c r="G31"/>
  <c r="E37"/>
  <c r="G46"/>
  <c r="G48"/>
  <c r="G61"/>
  <c r="G64"/>
  <c r="G66"/>
  <c r="G73"/>
  <c r="G85"/>
  <c r="G96"/>
  <c r="G103"/>
  <c r="G107"/>
  <c r="G123"/>
  <c r="G126"/>
  <c r="G128"/>
  <c r="G139"/>
  <c r="G141"/>
  <c r="G153"/>
  <c r="G161"/>
  <c r="G166"/>
  <c r="G173"/>
  <c r="G183"/>
  <c r="G197"/>
  <c r="G202"/>
  <c r="G211"/>
  <c r="G216"/>
  <c r="G228"/>
  <c r="G229"/>
  <c r="G231"/>
  <c r="E249"/>
  <c r="G254"/>
  <c r="G259"/>
  <c r="G263"/>
  <c r="G279"/>
  <c r="G280"/>
  <c r="G287"/>
  <c r="G291"/>
  <c r="G293"/>
  <c r="G297"/>
  <c r="G300"/>
  <c r="G304"/>
  <c r="G313"/>
  <c r="G318"/>
  <c r="G326"/>
  <c r="E328"/>
  <c r="E623"/>
  <c r="G333"/>
  <c r="G352"/>
  <c r="G353"/>
  <c r="G357"/>
  <c r="G361"/>
  <c r="G365"/>
  <c r="G370"/>
  <c r="G372"/>
  <c r="G376"/>
  <c r="F403"/>
  <c r="G403" s="1"/>
  <c r="G405"/>
  <c r="G473"/>
  <c r="G479"/>
  <c r="G501"/>
  <c r="G505"/>
  <c r="G519"/>
  <c r="G523"/>
  <c r="D571"/>
  <c r="D577"/>
  <c r="G52"/>
  <c r="G54"/>
  <c r="G57"/>
  <c r="G60"/>
  <c r="G62"/>
  <c r="G65"/>
  <c r="G68"/>
  <c r="G70"/>
  <c r="G76"/>
  <c r="G78"/>
  <c r="G80"/>
  <c r="G88"/>
  <c r="G93"/>
  <c r="G98"/>
  <c r="G100"/>
  <c r="G106"/>
  <c r="G108"/>
  <c r="G114"/>
  <c r="G116"/>
  <c r="G119"/>
  <c r="G122"/>
  <c r="G124"/>
  <c r="G127"/>
  <c r="G130"/>
  <c r="G134"/>
  <c r="G146"/>
  <c r="G149"/>
  <c r="G154"/>
  <c r="G174"/>
  <c r="G9"/>
  <c r="G13"/>
  <c r="G21"/>
  <c r="G25"/>
  <c r="G29"/>
  <c r="G33"/>
  <c r="G35"/>
  <c r="G72"/>
  <c r="G84"/>
  <c r="G102"/>
  <c r="G140"/>
  <c r="G142"/>
  <c r="G162"/>
  <c r="G165"/>
  <c r="G170"/>
  <c r="G217"/>
  <c r="G219"/>
  <c r="G222"/>
  <c r="G237"/>
  <c r="G240"/>
  <c r="G243"/>
  <c r="G252"/>
  <c r="G266"/>
  <c r="G270"/>
  <c r="E474"/>
  <c r="E484"/>
  <c r="E538"/>
  <c r="E543"/>
  <c r="E550"/>
  <c r="E179"/>
  <c r="G192"/>
  <c r="G214"/>
  <c r="G253"/>
  <c r="G278"/>
  <c r="G290"/>
  <c r="G292"/>
  <c r="G296"/>
  <c r="G301"/>
  <c r="G308"/>
  <c r="G314"/>
  <c r="G317"/>
  <c r="G322"/>
  <c r="G355"/>
  <c r="G359"/>
  <c r="G371"/>
  <c r="G375"/>
  <c r="G404"/>
  <c r="E424"/>
  <c r="G447"/>
  <c r="G449"/>
  <c r="G451"/>
  <c r="G476"/>
  <c r="G478"/>
  <c r="G483"/>
  <c r="G487"/>
  <c r="G490"/>
  <c r="E492"/>
  <c r="G500"/>
  <c r="E502"/>
  <c r="G509"/>
  <c r="E514"/>
  <c r="E520"/>
  <c r="G527"/>
  <c r="G537"/>
  <c r="E635"/>
  <c r="G4"/>
  <c r="G6"/>
  <c r="G83"/>
  <c r="G87"/>
  <c r="G91"/>
  <c r="G95"/>
  <c r="E605"/>
  <c r="G137"/>
  <c r="G148"/>
  <c r="F147"/>
  <c r="G147" s="1"/>
  <c r="G158"/>
  <c r="F155"/>
  <c r="G155"/>
  <c r="G160"/>
  <c r="F159"/>
  <c r="G159"/>
  <c r="F167"/>
  <c r="G182"/>
  <c r="G185"/>
  <c r="G199"/>
  <c r="G201"/>
  <c r="G213"/>
  <c r="G224"/>
  <c r="F226"/>
  <c r="G236"/>
  <c r="G239"/>
  <c r="F238"/>
  <c r="G238"/>
  <c r="G246"/>
  <c r="F619"/>
  <c r="G269"/>
  <c r="G277"/>
  <c r="G289"/>
  <c r="G295"/>
  <c r="G303"/>
  <c r="G306"/>
  <c r="F305"/>
  <c r="G305" s="1"/>
  <c r="G316"/>
  <c r="F315"/>
  <c r="G329"/>
  <c r="G332"/>
  <c r="G335"/>
  <c r="F334"/>
  <c r="G337"/>
  <c r="F336"/>
  <c r="G336"/>
  <c r="G339"/>
  <c r="F338"/>
  <c r="G338" s="1"/>
  <c r="G341"/>
  <c r="F340"/>
  <c r="G340" s="1"/>
  <c r="G343"/>
  <c r="F342"/>
  <c r="G342" s="1"/>
  <c r="G345"/>
  <c r="F344"/>
  <c r="G344"/>
  <c r="G349"/>
  <c r="F348"/>
  <c r="G348" s="1"/>
  <c r="G351"/>
  <c r="F350"/>
  <c r="G350" s="1"/>
  <c r="H625"/>
  <c r="G363"/>
  <c r="G374"/>
  <c r="F373"/>
  <c r="G373" s="1"/>
  <c r="G377"/>
  <c r="G407"/>
  <c r="G409"/>
  <c r="G411"/>
  <c r="G426"/>
  <c r="G467"/>
  <c r="F466"/>
  <c r="G466" s="1"/>
  <c r="G475"/>
  <c r="F474"/>
  <c r="G477"/>
  <c r="G481"/>
  <c r="F480"/>
  <c r="G486"/>
  <c r="G489"/>
  <c r="F488"/>
  <c r="G488" s="1"/>
  <c r="G494"/>
  <c r="G497"/>
  <c r="F496"/>
  <c r="G496" s="1"/>
  <c r="G499"/>
  <c r="F498"/>
  <c r="G498" s="1"/>
  <c r="G504"/>
  <c r="G507"/>
  <c r="F506"/>
  <c r="G512"/>
  <c r="G513"/>
  <c r="F511"/>
  <c r="G511" s="1"/>
  <c r="G522"/>
  <c r="G525"/>
  <c r="F524"/>
  <c r="G524"/>
  <c r="G530"/>
  <c r="G534"/>
  <c r="G535"/>
  <c r="F533"/>
  <c r="G5"/>
  <c r="F8"/>
  <c r="G8" s="1"/>
  <c r="F14"/>
  <c r="G14"/>
  <c r="F18"/>
  <c r="G18" s="1"/>
  <c r="F20"/>
  <c r="G20"/>
  <c r="F22"/>
  <c r="G22" s="1"/>
  <c r="F24"/>
  <c r="G24"/>
  <c r="F26"/>
  <c r="G26" s="1"/>
  <c r="F28"/>
  <c r="G28"/>
  <c r="F30"/>
  <c r="G30" s="1"/>
  <c r="F32"/>
  <c r="G32"/>
  <c r="F51"/>
  <c r="F55"/>
  <c r="G55"/>
  <c r="F59"/>
  <c r="F63"/>
  <c r="G63" s="1"/>
  <c r="F67"/>
  <c r="G67"/>
  <c r="F71"/>
  <c r="F75"/>
  <c r="G75"/>
  <c r="G94"/>
  <c r="F101"/>
  <c r="G101" s="1"/>
  <c r="F105"/>
  <c r="G105"/>
  <c r="F113"/>
  <c r="G113" s="1"/>
  <c r="F117"/>
  <c r="G117"/>
  <c r="F121"/>
  <c r="F125"/>
  <c r="G125"/>
  <c r="F129"/>
  <c r="G129" s="1"/>
  <c r="G144"/>
  <c r="F143"/>
  <c r="G152"/>
  <c r="F151"/>
  <c r="G151" s="1"/>
  <c r="G164"/>
  <c r="F163"/>
  <c r="G163" s="1"/>
  <c r="G172"/>
  <c r="F171"/>
  <c r="F184"/>
  <c r="F614" s="1"/>
  <c r="F193"/>
  <c r="G193" s="1"/>
  <c r="G196"/>
  <c r="F195"/>
  <c r="G195" s="1"/>
  <c r="G198"/>
  <c r="F200"/>
  <c r="G200"/>
  <c r="G207"/>
  <c r="G210"/>
  <c r="F209"/>
  <c r="G209"/>
  <c r="F212"/>
  <c r="G212" s="1"/>
  <c r="G218"/>
  <c r="G221"/>
  <c r="F220"/>
  <c r="G220" s="1"/>
  <c r="F223"/>
  <c r="G223"/>
  <c r="G230"/>
  <c r="G233"/>
  <c r="F235"/>
  <c r="G242"/>
  <c r="E256"/>
  <c r="E619" s="1"/>
  <c r="H619" s="1"/>
  <c r="G257"/>
  <c r="E264"/>
  <c r="G264" s="1"/>
  <c r="G265"/>
  <c r="F268"/>
  <c r="G268" s="1"/>
  <c r="G273"/>
  <c r="F276"/>
  <c r="G276"/>
  <c r="G283"/>
  <c r="E284"/>
  <c r="G284"/>
  <c r="G285"/>
  <c r="F288"/>
  <c r="G288" s="1"/>
  <c r="F294"/>
  <c r="G294"/>
  <c r="E298"/>
  <c r="G298" s="1"/>
  <c r="G299"/>
  <c r="F302"/>
  <c r="G302" s="1"/>
  <c r="G310"/>
  <c r="F309"/>
  <c r="G309"/>
  <c r="G312"/>
  <c r="F311"/>
  <c r="G320"/>
  <c r="F319"/>
  <c r="G319" s="1"/>
  <c r="G325"/>
  <c r="F324"/>
  <c r="F331"/>
  <c r="G331" s="1"/>
  <c r="G354"/>
  <c r="G356"/>
  <c r="G358"/>
  <c r="G360"/>
  <c r="G362"/>
  <c r="G364"/>
  <c r="G366"/>
  <c r="E368"/>
  <c r="E383" s="1"/>
  <c r="G369"/>
  <c r="G385"/>
  <c r="G394"/>
  <c r="F398"/>
  <c r="G414"/>
  <c r="F412"/>
  <c r="G416"/>
  <c r="F415"/>
  <c r="G415" s="1"/>
  <c r="G418"/>
  <c r="F417"/>
  <c r="G417" s="1"/>
  <c r="G428"/>
  <c r="G429"/>
  <c r="F427"/>
  <c r="G427" s="1"/>
  <c r="G431"/>
  <c r="F430"/>
  <c r="G430"/>
  <c r="E443"/>
  <c r="G444"/>
  <c r="G445"/>
  <c r="F443"/>
  <c r="F453" s="1"/>
  <c r="G453" s="1"/>
  <c r="G545"/>
  <c r="G406"/>
  <c r="G408"/>
  <c r="G410"/>
  <c r="G425"/>
  <c r="F424"/>
  <c r="G434"/>
  <c r="F436"/>
  <c r="F458"/>
  <c r="G463"/>
  <c r="F462"/>
  <c r="G462" s="1"/>
  <c r="G485"/>
  <c r="F484"/>
  <c r="G493"/>
  <c r="F492"/>
  <c r="G503"/>
  <c r="F502"/>
  <c r="G502" s="1"/>
  <c r="G518"/>
  <c r="G521"/>
  <c r="F520"/>
  <c r="G520"/>
  <c r="G529"/>
  <c r="F528"/>
  <c r="G539"/>
  <c r="F538"/>
  <c r="G538" s="1"/>
  <c r="F542"/>
  <c r="G547"/>
  <c r="G548"/>
  <c r="F546"/>
  <c r="G546"/>
  <c r="G540"/>
  <c r="G544"/>
  <c r="F543"/>
  <c r="G543" s="1"/>
  <c r="G486" i="25"/>
  <c r="F152" i="13"/>
  <c r="F172"/>
  <c r="G474" i="43"/>
  <c r="E367"/>
  <c r="G492"/>
  <c r="G484"/>
  <c r="G328"/>
  <c r="D565"/>
  <c r="F623"/>
  <c r="H623" s="1"/>
  <c r="H627" s="1"/>
  <c r="F604"/>
  <c r="G604" s="1"/>
  <c r="G51"/>
  <c r="F630"/>
  <c r="H630"/>
  <c r="G506"/>
  <c r="F550"/>
  <c r="G550"/>
  <c r="F327"/>
  <c r="G327"/>
  <c r="G324"/>
  <c r="F615"/>
  <c r="H615"/>
  <c r="G235"/>
  <c r="F610"/>
  <c r="H610" s="1"/>
  <c r="G171"/>
  <c r="G143"/>
  <c r="F609"/>
  <c r="H609" s="1"/>
  <c r="F605"/>
  <c r="G605"/>
  <c r="G121"/>
  <c r="F629"/>
  <c r="H629"/>
  <c r="G480"/>
  <c r="G368"/>
  <c r="F624"/>
  <c r="H624"/>
  <c r="G334"/>
  <c r="F620"/>
  <c r="H620" s="1"/>
  <c r="G315"/>
  <c r="G256"/>
  <c r="E598"/>
  <c r="E596"/>
  <c r="G596"/>
  <c r="H152" i="13"/>
  <c r="F596" i="43"/>
  <c r="F622"/>
  <c r="G21" i="25"/>
  <c r="E16" i="43"/>
  <c r="G16" i="17"/>
  <c r="G3" i="25"/>
  <c r="G3" i="43"/>
  <c r="E36"/>
  <c r="E36" i="17"/>
  <c r="G539" i="25"/>
  <c r="G36" i="17"/>
  <c r="E119" i="25"/>
  <c r="G121"/>
  <c r="E77"/>
  <c r="G77"/>
  <c r="E65"/>
  <c r="G65" s="1"/>
  <c r="G67"/>
  <c r="E386"/>
  <c r="E740"/>
  <c r="F131"/>
  <c r="G131"/>
  <c r="G132"/>
  <c r="F644"/>
  <c r="G644"/>
  <c r="D708"/>
  <c r="G590"/>
  <c r="G151"/>
  <c r="G91"/>
  <c r="G387"/>
  <c r="E111"/>
  <c r="F626"/>
  <c r="F107"/>
  <c r="G107"/>
  <c r="G526"/>
  <c r="G206"/>
  <c r="F103"/>
  <c r="E69"/>
  <c r="G224"/>
  <c r="G57"/>
  <c r="E351"/>
  <c r="G354"/>
  <c r="G586"/>
  <c r="E413"/>
  <c r="G414"/>
  <c r="G270"/>
  <c r="F96"/>
  <c r="G97"/>
  <c r="F285"/>
  <c r="G285"/>
  <c r="G286"/>
  <c r="G169"/>
  <c r="F167"/>
  <c r="G446"/>
  <c r="F444"/>
  <c r="G585"/>
  <c r="F582"/>
  <c r="G582"/>
  <c r="F576"/>
  <c r="G576" s="1"/>
  <c r="F564"/>
  <c r="G564"/>
  <c r="G565"/>
  <c r="F386"/>
  <c r="G386"/>
  <c r="F24"/>
  <c r="G25"/>
  <c r="F426"/>
  <c r="G427"/>
  <c r="F144"/>
  <c r="G145"/>
  <c r="G201"/>
  <c r="E309"/>
  <c r="E315" s="1"/>
  <c r="E223"/>
  <c r="E355"/>
  <c r="G355"/>
  <c r="E167"/>
  <c r="G167" s="1"/>
  <c r="G562"/>
  <c r="G415"/>
  <c r="G20"/>
  <c r="G481"/>
  <c r="F84"/>
  <c r="G84"/>
  <c r="G302"/>
  <c r="F627"/>
  <c r="E134"/>
  <c r="G218"/>
  <c r="G9" i="42"/>
  <c r="G627" i="25"/>
  <c r="F636"/>
  <c r="G636"/>
  <c r="E733"/>
  <c r="G426"/>
  <c r="E707"/>
  <c r="G351"/>
  <c r="G144"/>
  <c r="F740"/>
  <c r="H740" s="1"/>
  <c r="F749"/>
  <c r="H749"/>
  <c r="C9" i="44"/>
  <c r="F745" i="25"/>
  <c r="H745"/>
  <c r="G434"/>
  <c r="F136" i="43"/>
  <c r="H729" i="25"/>
  <c r="G568"/>
  <c r="G319"/>
  <c r="F248" i="43"/>
  <c r="G248" s="1"/>
  <c r="G137" i="8"/>
  <c r="E599" i="43"/>
  <c r="G42"/>
  <c r="F44" i="25"/>
  <c r="G44"/>
  <c r="G225"/>
  <c r="F223"/>
  <c r="F178" i="43"/>
  <c r="G178"/>
  <c r="E67" i="15"/>
  <c r="H734" i="25"/>
  <c r="G177" i="43"/>
  <c r="F176"/>
  <c r="H398" i="25"/>
  <c r="G223"/>
  <c r="D140" i="39"/>
  <c r="E140" s="1"/>
  <c r="D11" i="41"/>
  <c r="F597" i="25"/>
  <c r="G597" s="1"/>
  <c r="E138" i="39"/>
  <c r="F150" i="17" s="1"/>
  <c r="D139" i="39"/>
  <c r="D141"/>
  <c r="E141" s="1"/>
  <c r="F153" i="17" s="1"/>
  <c r="F92" i="42"/>
  <c r="G92" s="1"/>
  <c r="E65" i="39"/>
  <c r="E64"/>
  <c r="F115" i="17" s="1"/>
  <c r="E136" i="39"/>
  <c r="E69"/>
  <c r="E68"/>
  <c r="D80"/>
  <c r="D85" s="1"/>
  <c r="F148" i="17"/>
  <c r="D142" i="39"/>
  <c r="E142"/>
  <c r="F154" i="17"/>
  <c r="G154" s="1"/>
  <c r="E139" i="39"/>
  <c r="F151" i="17" s="1"/>
  <c r="G148"/>
  <c r="F91" i="42"/>
  <c r="G91"/>
  <c r="G65" i="17"/>
  <c r="G68"/>
  <c r="F32" i="42"/>
  <c r="G32" s="1"/>
  <c r="F29"/>
  <c r="G29"/>
  <c r="F24"/>
  <c r="G24" s="1"/>
  <c r="F197" i="25"/>
  <c r="G197"/>
  <c r="F116" i="17"/>
  <c r="G172" i="13"/>
  <c r="H172"/>
  <c r="F97" i="42"/>
  <c r="G97" s="1"/>
  <c r="G656" i="25"/>
  <c r="F659"/>
  <c r="G659" s="1"/>
  <c r="H750"/>
  <c r="F725"/>
  <c r="G725" s="1"/>
  <c r="G123"/>
  <c r="F596"/>
  <c r="E708"/>
  <c r="G24"/>
  <c r="G152" i="13"/>
  <c r="G424" i="43"/>
  <c r="G618" i="25"/>
  <c r="G5"/>
  <c r="E552"/>
  <c r="F33" i="42"/>
  <c r="G33" s="1"/>
  <c r="G36"/>
  <c r="G45" i="7"/>
  <c r="H45"/>
  <c r="G505" i="25"/>
  <c r="F504"/>
  <c r="G504" s="1"/>
  <c r="E49" i="42"/>
  <c r="G130" i="13"/>
  <c r="H506" i="25"/>
  <c r="G399"/>
  <c r="F743"/>
  <c r="F228" i="7"/>
  <c r="H203"/>
  <c r="E188"/>
  <c r="E5" i="42"/>
  <c r="G3"/>
  <c r="F47" i="43"/>
  <c r="G7" i="13"/>
  <c r="F49" i="25"/>
  <c r="G49" s="1"/>
  <c r="F6" i="13"/>
  <c r="H7"/>
  <c r="F109" i="42"/>
  <c r="G176" i="17"/>
  <c r="F654" i="25"/>
  <c r="G654" s="1"/>
  <c r="F27" i="42"/>
  <c r="G27" s="1"/>
  <c r="F200" i="25"/>
  <c r="G200" s="1"/>
  <c r="F38" i="43"/>
  <c r="H3" i="7"/>
  <c r="F41"/>
  <c r="F40" i="25"/>
  <c r="G3" i="7"/>
  <c r="H91"/>
  <c r="F123"/>
  <c r="G48" i="25"/>
  <c r="G477"/>
  <c r="F476"/>
  <c r="F66" i="42"/>
  <c r="G66" s="1"/>
  <c r="D59" i="39"/>
  <c r="E57"/>
  <c r="F99" i="17"/>
  <c r="G95"/>
  <c r="F61" i="42"/>
  <c r="G61" s="1"/>
  <c r="F301" i="25"/>
  <c r="G301" s="1"/>
  <c r="H146" i="17"/>
  <c r="G146"/>
  <c r="E655" i="25"/>
  <c r="E660" s="1"/>
  <c r="G660" s="1"/>
  <c r="E110" i="42"/>
  <c r="E115"/>
  <c r="E182" i="17"/>
  <c r="E183"/>
  <c r="F465" i="25"/>
  <c r="G465"/>
  <c r="F86" i="42"/>
  <c r="G86" s="1"/>
  <c r="E68" i="15"/>
  <c r="E103" i="25"/>
  <c r="G103" s="1"/>
  <c r="G100"/>
  <c r="G126"/>
  <c r="F397" i="43"/>
  <c r="G397" s="1"/>
  <c r="F480" i="25"/>
  <c r="F17" i="43"/>
  <c r="F17" i="25"/>
  <c r="G215"/>
  <c r="E531" i="43"/>
  <c r="E625" i="25"/>
  <c r="E622"/>
  <c r="E227" i="43"/>
  <c r="E274" i="25"/>
  <c r="F44" i="15"/>
  <c r="E395" i="43"/>
  <c r="G395" s="1"/>
  <c r="E478" i="25"/>
  <c r="G478" s="1"/>
  <c r="E275" i="43"/>
  <c r="G275" s="1"/>
  <c r="E346" i="25"/>
  <c r="G346" s="1"/>
  <c r="E205" i="43"/>
  <c r="E203" s="1"/>
  <c r="E252" i="25"/>
  <c r="E250" s="1"/>
  <c r="F461" i="43"/>
  <c r="F460" s="1"/>
  <c r="F545" i="25"/>
  <c r="E461" i="43"/>
  <c r="E460" s="1"/>
  <c r="E545" i="25"/>
  <c r="E544" s="1"/>
  <c r="E548" s="1"/>
  <c r="E45" i="43"/>
  <c r="E47" i="25"/>
  <c r="E245" i="43"/>
  <c r="E618" s="1"/>
  <c r="F439"/>
  <c r="F522" i="25"/>
  <c r="E499"/>
  <c r="E498"/>
  <c r="I23" i="15"/>
  <c r="G7"/>
  <c r="F181" i="43"/>
  <c r="G181"/>
  <c r="F228" i="25"/>
  <c r="G228" s="1"/>
  <c r="F261" i="43"/>
  <c r="G67" i="7"/>
  <c r="G66" i="15"/>
  <c r="F50" i="43"/>
  <c r="G50" s="1"/>
  <c r="F7" i="8"/>
  <c r="F12" i="43"/>
  <c r="E232"/>
  <c r="E399"/>
  <c r="E437"/>
  <c r="F472"/>
  <c r="F7" i="42"/>
  <c r="F168" i="17"/>
  <c r="G4" i="42"/>
  <c r="G100" i="13"/>
  <c r="E524" i="25"/>
  <c r="F317"/>
  <c r="G113" i="17"/>
  <c r="G178"/>
  <c r="C29" i="41"/>
  <c r="E187" i="17"/>
  <c r="C30" i="44"/>
  <c r="G145" i="17"/>
  <c r="H3" i="15"/>
  <c r="E101" i="8"/>
  <c r="E40" i="46"/>
  <c r="E63" s="1"/>
  <c r="E64" s="1"/>
  <c r="G7"/>
  <c r="G25"/>
  <c r="G105" i="8"/>
  <c r="F101"/>
  <c r="G75"/>
  <c r="G11" i="13"/>
  <c r="F63" i="25"/>
  <c r="H168" i="13"/>
  <c r="G139"/>
  <c r="G60" i="7"/>
  <c r="F556" i="25"/>
  <c r="H161" i="13"/>
  <c r="F318" i="25"/>
  <c r="G318"/>
  <c r="E176" i="43"/>
  <c r="G206" i="8"/>
  <c r="H16" i="15"/>
  <c r="F110" i="43"/>
  <c r="F109" s="1"/>
  <c r="F112" i="25"/>
  <c r="F112" i="43"/>
  <c r="G112" s="1"/>
  <c r="F114" i="25"/>
  <c r="G114" s="1"/>
  <c r="G154" i="7"/>
  <c r="I42" i="15"/>
  <c r="F111" i="43"/>
  <c r="G111" s="1"/>
  <c r="G34" i="13"/>
  <c r="F119" i="25"/>
  <c r="G119"/>
  <c r="G53" i="13"/>
  <c r="F347" i="43"/>
  <c r="F418" i="25"/>
  <c r="E439"/>
  <c r="G439" s="1"/>
  <c r="F204" i="43"/>
  <c r="H20" i="15"/>
  <c r="G497" i="25"/>
  <c r="F388" i="43"/>
  <c r="F387" s="1"/>
  <c r="F471" i="25"/>
  <c r="G18" i="17"/>
  <c r="G32"/>
  <c r="E274" i="43"/>
  <c r="G274" s="1"/>
  <c r="E345" i="25"/>
  <c r="E413" i="43"/>
  <c r="E496" i="25"/>
  <c r="E216" i="8"/>
  <c r="G216"/>
  <c r="E470" i="25"/>
  <c r="E71" i="43"/>
  <c r="G71"/>
  <c r="E168"/>
  <c r="E176" i="25"/>
  <c r="E175" s="1"/>
  <c r="F234" i="43"/>
  <c r="F281" i="25"/>
  <c r="F401" i="43"/>
  <c r="F484" i="25"/>
  <c r="G484" s="1"/>
  <c r="F62" i="46"/>
  <c r="G62" s="1"/>
  <c r="F205" i="43"/>
  <c r="G205"/>
  <c r="F252" i="25"/>
  <c r="F393" i="43"/>
  <c r="E471"/>
  <c r="E203" i="7"/>
  <c r="F513" i="25"/>
  <c r="G248"/>
  <c r="F247"/>
  <c r="G247"/>
  <c r="F561"/>
  <c r="E459" i="43"/>
  <c r="E543" i="25"/>
  <c r="G162" i="17"/>
  <c r="F420" i="43"/>
  <c r="F503" i="25"/>
  <c r="E503"/>
  <c r="E502"/>
  <c r="G502" s="1"/>
  <c r="E136" i="43"/>
  <c r="G612" i="25"/>
  <c r="E516"/>
  <c r="E523"/>
  <c r="E102" i="39"/>
  <c r="F123" i="17" s="1"/>
  <c r="F157" i="43"/>
  <c r="G157"/>
  <c r="F457"/>
  <c r="F516"/>
  <c r="G12" i="15"/>
  <c r="F187" i="17"/>
  <c r="C5" i="41"/>
  <c r="G5" s="1"/>
  <c r="F422" i="43"/>
  <c r="G422" s="1"/>
  <c r="G11" i="15"/>
  <c r="F391" i="43"/>
  <c r="G117" i="8"/>
  <c r="E390" i="43"/>
  <c r="G390" s="1"/>
  <c r="F43" i="7"/>
  <c r="F386" i="43"/>
  <c r="F499" i="25"/>
  <c r="E106" i="39"/>
  <c r="F125" i="17" s="1"/>
  <c r="F251" i="43"/>
  <c r="G251" s="1"/>
  <c r="F64" i="7"/>
  <c r="H403" i="43"/>
  <c r="E59"/>
  <c r="G59" s="1"/>
  <c r="D598"/>
  <c r="F598" s="1"/>
  <c r="E187"/>
  <c r="G194"/>
  <c r="F241"/>
  <c r="G241"/>
  <c r="E311"/>
  <c r="G311" s="1"/>
  <c r="E441"/>
  <c r="E384"/>
  <c r="F517"/>
  <c r="G517" s="1"/>
  <c r="E533"/>
  <c r="G441"/>
  <c r="E453"/>
  <c r="E542"/>
  <c r="G542"/>
  <c r="G533"/>
  <c r="F498" i="25"/>
  <c r="G499"/>
  <c r="G43" i="7"/>
  <c r="F42"/>
  <c r="H43"/>
  <c r="F188" i="43"/>
  <c r="F235" i="25"/>
  <c r="H11" i="15"/>
  <c r="I11"/>
  <c r="F514" i="43"/>
  <c r="G516"/>
  <c r="G420"/>
  <c r="F419"/>
  <c r="G543" i="25"/>
  <c r="E542"/>
  <c r="F558"/>
  <c r="G558" s="1"/>
  <c r="G561"/>
  <c r="E228" i="7"/>
  <c r="E229"/>
  <c r="G203"/>
  <c r="F483" i="25"/>
  <c r="G483" s="1"/>
  <c r="F279"/>
  <c r="G279" s="1"/>
  <c r="G281"/>
  <c r="E412" i="43"/>
  <c r="G413"/>
  <c r="E272"/>
  <c r="G272" s="1"/>
  <c r="G347"/>
  <c r="F346"/>
  <c r="F554" i="25"/>
  <c r="G556"/>
  <c r="G63"/>
  <c r="F61"/>
  <c r="G61"/>
  <c r="E227" i="8"/>
  <c r="D29" i="41"/>
  <c r="F29" s="1"/>
  <c r="G29" s="1"/>
  <c r="H29" s="1"/>
  <c r="G524" i="25"/>
  <c r="E536"/>
  <c r="G7" i="42"/>
  <c r="G472" i="43"/>
  <c r="F470"/>
  <c r="E398"/>
  <c r="G398"/>
  <c r="G399"/>
  <c r="G12"/>
  <c r="G261"/>
  <c r="F260"/>
  <c r="G260" s="1"/>
  <c r="F521" i="25"/>
  <c r="G521" s="1"/>
  <c r="G522"/>
  <c r="E44" i="43"/>
  <c r="G45"/>
  <c r="G461"/>
  <c r="E273" i="25"/>
  <c r="G273" s="1"/>
  <c r="G274"/>
  <c r="G622"/>
  <c r="E626"/>
  <c r="F16" i="43"/>
  <c r="G16" s="1"/>
  <c r="G17"/>
  <c r="F396"/>
  <c r="G396" s="1"/>
  <c r="F65" i="42"/>
  <c r="G65"/>
  <c r="F305" i="25"/>
  <c r="G305" s="1"/>
  <c r="G99" i="17"/>
  <c r="G40" i="25"/>
  <c r="F39"/>
  <c r="G47" i="43"/>
  <c r="E194" i="8"/>
  <c r="G5" i="42"/>
  <c r="F742" i="25"/>
  <c r="E553"/>
  <c r="F708"/>
  <c r="G708"/>
  <c r="F646"/>
  <c r="G646"/>
  <c r="F321"/>
  <c r="F63" i="7"/>
  <c r="F250" i="43"/>
  <c r="G64" i="7"/>
  <c r="H64"/>
  <c r="G386" i="43"/>
  <c r="F384"/>
  <c r="F402" s="1"/>
  <c r="F390"/>
  <c r="G391"/>
  <c r="F421"/>
  <c r="G421" s="1"/>
  <c r="F191"/>
  <c r="F238" i="25"/>
  <c r="G238" s="1"/>
  <c r="I12" i="15"/>
  <c r="H12"/>
  <c r="F456" i="43"/>
  <c r="G456"/>
  <c r="G457"/>
  <c r="E608"/>
  <c r="G136"/>
  <c r="G503" i="25"/>
  <c r="F502"/>
  <c r="E458" i="43"/>
  <c r="E464" s="1"/>
  <c r="G459"/>
  <c r="G513" i="25"/>
  <c r="F523"/>
  <c r="G523"/>
  <c r="E470" i="43"/>
  <c r="G471"/>
  <c r="G252" i="25"/>
  <c r="F250"/>
  <c r="G250" s="1"/>
  <c r="G401" i="43"/>
  <c r="F400"/>
  <c r="G400"/>
  <c r="F232"/>
  <c r="G232"/>
  <c r="G234"/>
  <c r="E167"/>
  <c r="G167" s="1"/>
  <c r="G168"/>
  <c r="E495" i="25"/>
  <c r="G496"/>
  <c r="G345"/>
  <c r="E343"/>
  <c r="G471"/>
  <c r="F470"/>
  <c r="G470" s="1"/>
  <c r="G204" i="43"/>
  <c r="F203"/>
  <c r="F417" i="25"/>
  <c r="G418"/>
  <c r="F111"/>
  <c r="G111"/>
  <c r="G112"/>
  <c r="E613" i="43"/>
  <c r="G176"/>
  <c r="F40" i="46"/>
  <c r="G101" i="8"/>
  <c r="G317" i="25"/>
  <c r="F316"/>
  <c r="G316" s="1"/>
  <c r="F177" i="17"/>
  <c r="G168"/>
  <c r="E436" i="43"/>
  <c r="G437"/>
  <c r="F49"/>
  <c r="G49"/>
  <c r="G7" i="8"/>
  <c r="F6"/>
  <c r="F51" i="25"/>
  <c r="H66" i="15"/>
  <c r="F180" i="43"/>
  <c r="F227" i="25"/>
  <c r="F226" s="1"/>
  <c r="G6" i="15"/>
  <c r="I7"/>
  <c r="H7"/>
  <c r="G439" i="43"/>
  <c r="F438"/>
  <c r="E46" i="25"/>
  <c r="G47"/>
  <c r="F544"/>
  <c r="G544" s="1"/>
  <c r="G545"/>
  <c r="F67" i="15"/>
  <c r="F68"/>
  <c r="E226" i="43"/>
  <c r="G226" s="1"/>
  <c r="G227"/>
  <c r="E528"/>
  <c r="G531"/>
  <c r="G17" i="25"/>
  <c r="F16"/>
  <c r="F479"/>
  <c r="G479"/>
  <c r="G480"/>
  <c r="E476"/>
  <c r="E485"/>
  <c r="G176"/>
  <c r="E59" i="39"/>
  <c r="F101" i="17"/>
  <c r="D60" i="39"/>
  <c r="E60"/>
  <c r="F102" i="17"/>
  <c r="G476" i="25"/>
  <c r="H123" i="7"/>
  <c r="H438" i="25"/>
  <c r="G123" i="7"/>
  <c r="H367" i="43"/>
  <c r="G41" i="7"/>
  <c r="H41"/>
  <c r="G38" i="43"/>
  <c r="F37"/>
  <c r="G109" i="42"/>
  <c r="F101"/>
  <c r="G101" s="1"/>
  <c r="G6" i="13"/>
  <c r="F43"/>
  <c r="H6"/>
  <c r="G625" i="25"/>
  <c r="H228" i="7"/>
  <c r="G228"/>
  <c r="G596" i="25"/>
  <c r="G516"/>
  <c r="D704"/>
  <c r="F457"/>
  <c r="F78" i="42"/>
  <c r="G78" s="1"/>
  <c r="G116" i="17"/>
  <c r="G457" i="25"/>
  <c r="F67" i="42"/>
  <c r="G67"/>
  <c r="G101" i="17"/>
  <c r="F307" i="25"/>
  <c r="G307"/>
  <c r="E532" i="43"/>
  <c r="G532" s="1"/>
  <c r="G528"/>
  <c r="E603"/>
  <c r="E723" i="25"/>
  <c r="G227"/>
  <c r="F45" i="8"/>
  <c r="G6"/>
  <c r="G436" i="43"/>
  <c r="E440"/>
  <c r="F110" i="42"/>
  <c r="F655" i="25"/>
  <c r="F182" i="17"/>
  <c r="G182"/>
  <c r="G177"/>
  <c r="G40" i="46"/>
  <c r="H40"/>
  <c r="G417" i="25"/>
  <c r="E506"/>
  <c r="G495"/>
  <c r="E628" i="43"/>
  <c r="E510"/>
  <c r="E551"/>
  <c r="G63" i="7"/>
  <c r="F90"/>
  <c r="H63"/>
  <c r="G626" i="25"/>
  <c r="F36" i="43"/>
  <c r="F510"/>
  <c r="G510" s="1"/>
  <c r="G470"/>
  <c r="F628"/>
  <c r="E228" i="8"/>
  <c r="G227"/>
  <c r="F748" i="25"/>
  <c r="F594"/>
  <c r="E423" i="43"/>
  <c r="G412"/>
  <c r="G419"/>
  <c r="G514"/>
  <c r="F532"/>
  <c r="F187"/>
  <c r="G187"/>
  <c r="G188"/>
  <c r="F141" i="25"/>
  <c r="H42" i="7"/>
  <c r="F59"/>
  <c r="G42"/>
  <c r="F133" i="43"/>
  <c r="G43" i="13"/>
  <c r="H43"/>
  <c r="H131" i="43"/>
  <c r="G37"/>
  <c r="F68" i="42"/>
  <c r="G68" s="1"/>
  <c r="G102" i="17"/>
  <c r="F308" i="25"/>
  <c r="G308"/>
  <c r="G16"/>
  <c r="F36"/>
  <c r="G438" i="43"/>
  <c r="F440"/>
  <c r="G440" s="1"/>
  <c r="H6" i="15"/>
  <c r="I6"/>
  <c r="G44"/>
  <c r="F179" i="43"/>
  <c r="G180"/>
  <c r="G51" i="25"/>
  <c r="F46"/>
  <c r="G46" s="1"/>
  <c r="G343"/>
  <c r="F190" i="43"/>
  <c r="G190"/>
  <c r="G191"/>
  <c r="F249"/>
  <c r="G250"/>
  <c r="G321" i="25"/>
  <c r="F320"/>
  <c r="G320"/>
  <c r="F44" i="43"/>
  <c r="G44"/>
  <c r="G39" i="25"/>
  <c r="F723"/>
  <c r="F722" s="1"/>
  <c r="E131" i="43"/>
  <c r="D594"/>
  <c r="G346"/>
  <c r="F367"/>
  <c r="G367"/>
  <c r="G235" i="25"/>
  <c r="F234"/>
  <c r="G234"/>
  <c r="F506"/>
  <c r="I506" s="1"/>
  <c r="G498"/>
  <c r="G249" i="43"/>
  <c r="H44" i="15"/>
  <c r="I44"/>
  <c r="H244" i="43"/>
  <c r="H291" i="25"/>
  <c r="F132" i="43"/>
  <c r="G133"/>
  <c r="G59" i="7"/>
  <c r="H59"/>
  <c r="F140" i="25"/>
  <c r="G141"/>
  <c r="H628" i="43"/>
  <c r="H631" s="1"/>
  <c r="F627"/>
  <c r="H394" i="25"/>
  <c r="H90" i="7"/>
  <c r="G90"/>
  <c r="H323" i="43"/>
  <c r="G655" i="25"/>
  <c r="F660"/>
  <c r="G179" i="43"/>
  <c r="F613"/>
  <c r="F244"/>
  <c r="G36"/>
  <c r="F115" i="42"/>
  <c r="G115" s="1"/>
  <c r="G110"/>
  <c r="G45" i="8"/>
  <c r="F728" i="25"/>
  <c r="G140"/>
  <c r="F608" i="43"/>
  <c r="F175"/>
  <c r="G132"/>
  <c r="H613"/>
  <c r="H608"/>
  <c r="H611" s="1"/>
  <c r="F607"/>
  <c r="F727" i="25"/>
  <c r="C10" i="47"/>
  <c r="D12"/>
  <c r="G6"/>
  <c r="G7" s="1"/>
  <c r="H7" s="1"/>
  <c r="G448" i="25"/>
  <c r="F109" i="13"/>
  <c r="F149" i="8"/>
  <c r="C4" i="47"/>
  <c r="F148" i="8"/>
  <c r="G50" i="15"/>
  <c r="F46" i="46"/>
  <c r="F45" s="1"/>
  <c r="G149" i="8"/>
  <c r="H109" i="13"/>
  <c r="G109"/>
  <c r="G148" i="8"/>
  <c r="F108" i="13"/>
  <c r="G46" i="46"/>
  <c r="I50" i="15"/>
  <c r="F452" i="25"/>
  <c r="G452"/>
  <c r="G49" i="15"/>
  <c r="F381" i="43"/>
  <c r="G381" s="1"/>
  <c r="H50" i="15"/>
  <c r="C3" i="47"/>
  <c r="C7" s="1"/>
  <c r="F134" i="7"/>
  <c r="H49" i="15"/>
  <c r="G51"/>
  <c r="I49"/>
  <c r="F107" i="13"/>
  <c r="H108"/>
  <c r="G108"/>
  <c r="C5" i="47"/>
  <c r="F135" i="7"/>
  <c r="I51" i="15"/>
  <c r="G68"/>
  <c r="H51"/>
  <c r="G67"/>
  <c r="F133" i="7"/>
  <c r="H134"/>
  <c r="G134"/>
  <c r="F380" i="43"/>
  <c r="G380" s="1"/>
  <c r="F451" i="25"/>
  <c r="G451"/>
  <c r="F147" i="8"/>
  <c r="G107" i="13"/>
  <c r="F110"/>
  <c r="H107"/>
  <c r="H110"/>
  <c r="F136"/>
  <c r="G110"/>
  <c r="G147" i="8"/>
  <c r="F146"/>
  <c r="F450" i="25"/>
  <c r="F449" s="1"/>
  <c r="F379" i="43"/>
  <c r="G133" i="7"/>
  <c r="H133"/>
  <c r="F132"/>
  <c r="H67" i="15"/>
  <c r="I67"/>
  <c r="H68"/>
  <c r="C3" i="44"/>
  <c r="G3"/>
  <c r="C3" i="41"/>
  <c r="G3"/>
  <c r="I68" i="15"/>
  <c r="G135" i="7"/>
  <c r="F453" i="25"/>
  <c r="G453"/>
  <c r="F382" i="43"/>
  <c r="G382" s="1"/>
  <c r="H135" i="7"/>
  <c r="F131" i="17"/>
  <c r="H132" i="7"/>
  <c r="F136"/>
  <c r="G132"/>
  <c r="G450" i="25"/>
  <c r="F173" i="13"/>
  <c r="H136"/>
  <c r="G136"/>
  <c r="G379" i="43"/>
  <c r="G146" i="8"/>
  <c r="F150"/>
  <c r="F194"/>
  <c r="G150"/>
  <c r="H383" i="43"/>
  <c r="H454" i="25"/>
  <c r="G173" i="13"/>
  <c r="H173"/>
  <c r="H136" i="7"/>
  <c r="F188"/>
  <c r="G136"/>
  <c r="G131" i="17"/>
  <c r="F538" i="25"/>
  <c r="F537" s="1"/>
  <c r="F548" s="1"/>
  <c r="G548" s="1"/>
  <c r="F130" i="17"/>
  <c r="F455" i="43"/>
  <c r="F141" i="17"/>
  <c r="G141"/>
  <c r="G130"/>
  <c r="H188" i="7"/>
  <c r="F229"/>
  <c r="G188"/>
  <c r="G455" i="43"/>
  <c r="F454"/>
  <c r="F464" s="1"/>
  <c r="G464" s="1"/>
  <c r="G538" i="25"/>
  <c r="G194" i="8"/>
  <c r="F228"/>
  <c r="G228"/>
  <c r="H229" i="7"/>
  <c r="G229"/>
  <c r="F252"/>
  <c r="G454" i="43"/>
  <c r="F454" i="25" l="1"/>
  <c r="G449"/>
  <c r="G387" i="43"/>
  <c r="E595"/>
  <c r="F598" i="25"/>
  <c r="F93" i="42"/>
  <c r="G150" i="17"/>
  <c r="I454" i="25"/>
  <c r="H731"/>
  <c r="D90" i="39"/>
  <c r="E85"/>
  <c r="G115" i="17"/>
  <c r="F77" i="42"/>
  <c r="F456" i="25"/>
  <c r="F152" i="17"/>
  <c r="G537" i="25"/>
  <c r="G460" i="43"/>
  <c r="H45" i="46"/>
  <c r="G45"/>
  <c r="F47"/>
  <c r="F87" i="42"/>
  <c r="G87" s="1"/>
  <c r="F466" i="25"/>
  <c r="G466" s="1"/>
  <c r="G125" i="17"/>
  <c r="F85" i="42"/>
  <c r="G85" s="1"/>
  <c r="F464" i="25"/>
  <c r="G464" s="1"/>
  <c r="G123" i="17"/>
  <c r="G151"/>
  <c r="F94" i="42"/>
  <c r="G94" s="1"/>
  <c r="F599" i="25"/>
  <c r="G599" s="1"/>
  <c r="F96" i="42"/>
  <c r="G96" s="1"/>
  <c r="G153" i="17"/>
  <c r="F601" i="25"/>
  <c r="G601" s="1"/>
  <c r="F612" i="43"/>
  <c r="H614"/>
  <c r="H617" s="1"/>
  <c r="C12" i="47"/>
  <c r="F12" s="1"/>
  <c r="F25" s="1"/>
  <c r="F7"/>
  <c r="G226" i="25"/>
  <c r="F131" i="43"/>
  <c r="G109"/>
  <c r="G203"/>
  <c r="E244"/>
  <c r="G244" s="1"/>
  <c r="G413" i="25"/>
  <c r="F438"/>
  <c r="G350"/>
  <c r="F347"/>
  <c r="G347" s="1"/>
  <c r="E240"/>
  <c r="G241"/>
  <c r="E8"/>
  <c r="G9"/>
  <c r="D79" i="39"/>
  <c r="E74"/>
  <c r="E73" s="1"/>
  <c r="H46" i="46"/>
  <c r="G506" i="25"/>
  <c r="F603" i="43"/>
  <c r="G384"/>
  <c r="G458"/>
  <c r="E175"/>
  <c r="E323"/>
  <c r="D30" i="44"/>
  <c r="F30" s="1"/>
  <c r="G30" s="1"/>
  <c r="H30" s="1"/>
  <c r="C5" s="1"/>
  <c r="G5" s="1"/>
  <c r="E454" i="25"/>
  <c r="G388" i="43"/>
  <c r="G598"/>
  <c r="F602" i="25"/>
  <c r="G602" s="1"/>
  <c r="E80" i="39"/>
  <c r="D143"/>
  <c r="E143" s="1"/>
  <c r="F155" i="17" s="1"/>
  <c r="F245" i="43"/>
  <c r="F468"/>
  <c r="G159" i="25"/>
  <c r="G67" i="17"/>
  <c r="H42"/>
  <c r="G36" i="46"/>
  <c r="F175" i="25"/>
  <c r="G175" s="1"/>
  <c r="G555"/>
  <c r="E444"/>
  <c r="G444" s="1"/>
  <c r="E365"/>
  <c r="G365" s="1"/>
  <c r="E96"/>
  <c r="G163"/>
  <c r="G383"/>
  <c r="G540"/>
  <c r="G608"/>
  <c r="G41" i="17"/>
  <c r="F40"/>
  <c r="H21" i="46"/>
  <c r="G21"/>
  <c r="G70" i="25"/>
  <c r="F69"/>
  <c r="G69" s="1"/>
  <c r="F551" i="43"/>
  <c r="G551" s="1"/>
  <c r="F747" i="25"/>
  <c r="G723"/>
  <c r="H727" s="1"/>
  <c r="F133"/>
  <c r="F423" i="43"/>
  <c r="F237" i="25"/>
  <c r="G237" s="1"/>
  <c r="G110" i="43"/>
  <c r="G184"/>
  <c r="F136" i="25"/>
  <c r="G75"/>
  <c r="G179"/>
  <c r="G658"/>
  <c r="G13"/>
  <c r="G385"/>
  <c r="F382"/>
  <c r="G382" s="1"/>
  <c r="G173"/>
  <c r="E171"/>
  <c r="G474"/>
  <c r="F473"/>
  <c r="G473" s="1"/>
  <c r="G422"/>
  <c r="E421"/>
  <c r="G8"/>
  <c r="F309"/>
  <c r="G309" s="1"/>
  <c r="D599" i="43"/>
  <c r="E115" i="25"/>
  <c r="G115" s="1"/>
  <c r="G116"/>
  <c r="F550"/>
  <c r="G551"/>
  <c r="G340"/>
  <c r="F339"/>
  <c r="G339" s="1"/>
  <c r="G431"/>
  <c r="E430"/>
  <c r="G430" s="1"/>
  <c r="F378" i="43"/>
  <c r="E703" i="25"/>
  <c r="E393" i="43"/>
  <c r="D595" s="1"/>
  <c r="G443"/>
  <c r="G395" i="25"/>
  <c r="G605"/>
  <c r="G559"/>
  <c r="F335"/>
  <c r="F204"/>
  <c r="G204" s="1"/>
  <c r="G70" i="42"/>
  <c r="F8"/>
  <c r="E554" i="25"/>
  <c r="G165"/>
  <c r="G322"/>
  <c r="E595"/>
  <c r="E604" s="1"/>
  <c r="D709" s="1"/>
  <c r="E335"/>
  <c r="E738" s="1"/>
  <c r="G106"/>
  <c r="F199"/>
  <c r="G199" s="1"/>
  <c r="G59" i="17"/>
  <c r="G61"/>
  <c r="F603" i="25" l="1"/>
  <c r="G603" s="1"/>
  <c r="F98" i="42"/>
  <c r="G98" s="1"/>
  <c r="G155" i="17"/>
  <c r="G131" i="43"/>
  <c r="I131"/>
  <c r="G598" i="25"/>
  <c r="G454"/>
  <c r="H40" i="17"/>
  <c r="F46"/>
  <c r="G40"/>
  <c r="F618" i="43"/>
  <c r="E594"/>
  <c r="G245"/>
  <c r="F323"/>
  <c r="G323" s="1"/>
  <c r="F602"/>
  <c r="G603"/>
  <c r="H607" s="1"/>
  <c r="E79" i="39"/>
  <c r="E78" s="1"/>
  <c r="F118" i="17" s="1"/>
  <c r="D84" i="39"/>
  <c r="G240" i="25"/>
  <c r="E291"/>
  <c r="F600"/>
  <c r="G600" s="1"/>
  <c r="F95" i="42"/>
  <c r="G95" s="1"/>
  <c r="G152" i="17"/>
  <c r="G175" i="43"/>
  <c r="E704" i="25"/>
  <c r="F147" i="17"/>
  <c r="G599" i="43"/>
  <c r="F599"/>
  <c r="E394" i="25"/>
  <c r="D703"/>
  <c r="E594"/>
  <c r="G554"/>
  <c r="E748"/>
  <c r="H748" s="1"/>
  <c r="H751" s="1"/>
  <c r="G335"/>
  <c r="F394"/>
  <c r="G394" s="1"/>
  <c r="F738"/>
  <c r="G378" i="43"/>
  <c r="F383"/>
  <c r="E438" i="25"/>
  <c r="G421"/>
  <c r="G171"/>
  <c r="E183"/>
  <c r="G136"/>
  <c r="F134"/>
  <c r="G423" i="43"/>
  <c r="I423"/>
  <c r="G468"/>
  <c r="F469"/>
  <c r="G469" s="1"/>
  <c r="F117" i="17"/>
  <c r="H47" i="46"/>
  <c r="F63"/>
  <c r="G47"/>
  <c r="G77" i="42"/>
  <c r="F90"/>
  <c r="G93"/>
  <c r="F733" i="25"/>
  <c r="E144" i="39"/>
  <c r="E402" i="43"/>
  <c r="G402" s="1"/>
  <c r="G393"/>
  <c r="F552" i="25"/>
  <c r="G550"/>
  <c r="G8" i="42"/>
  <c r="F6"/>
  <c r="G703" i="25"/>
  <c r="F703"/>
  <c r="D707"/>
  <c r="E133"/>
  <c r="G96"/>
  <c r="E36"/>
  <c r="D705"/>
  <c r="G456"/>
  <c r="E90" i="39"/>
  <c r="D95"/>
  <c r="G595" i="43"/>
  <c r="F595"/>
  <c r="G438" i="25"/>
  <c r="F291"/>
  <c r="G291" s="1"/>
  <c r="E645" l="1"/>
  <c r="G594"/>
  <c r="G147" i="17"/>
  <c r="F156"/>
  <c r="E84" i="39"/>
  <c r="E83" s="1"/>
  <c r="D89"/>
  <c r="E465" i="43"/>
  <c r="E552" s="1"/>
  <c r="D600" s="1"/>
  <c r="D597" s="1"/>
  <c r="F64" i="46"/>
  <c r="H63"/>
  <c r="G63"/>
  <c r="G134" i="25"/>
  <c r="F183"/>
  <c r="H738"/>
  <c r="H742" s="1"/>
  <c r="F737"/>
  <c r="F617" i="43"/>
  <c r="H618"/>
  <c r="H622" s="1"/>
  <c r="F465"/>
  <c r="F705" i="25"/>
  <c r="G705"/>
  <c r="F594" i="43"/>
  <c r="G594"/>
  <c r="F595" i="25"/>
  <c r="G36"/>
  <c r="E95" i="39"/>
  <c r="D99"/>
  <c r="E99" s="1"/>
  <c r="F707" i="25"/>
  <c r="G707"/>
  <c r="F99" i="42"/>
  <c r="G90"/>
  <c r="D715" i="25"/>
  <c r="E549"/>
  <c r="E661" s="1"/>
  <c r="D710" s="1"/>
  <c r="G6" i="42"/>
  <c r="F11"/>
  <c r="F79"/>
  <c r="G117" i="17"/>
  <c r="F458" i="25"/>
  <c r="G552"/>
  <c r="F553"/>
  <c r="G553" s="1"/>
  <c r="F732"/>
  <c r="H733"/>
  <c r="H737" s="1"/>
  <c r="G383" i="43"/>
  <c r="I383"/>
  <c r="F704" i="25"/>
  <c r="G704"/>
  <c r="F80" i="42"/>
  <c r="G80" s="1"/>
  <c r="F459" i="25"/>
  <c r="G459" s="1"/>
  <c r="G118" i="17"/>
  <c r="G46"/>
  <c r="H175" i="43"/>
  <c r="I175" s="1"/>
  <c r="H46" i="17"/>
  <c r="G133" i="25"/>
  <c r="D706" l="1"/>
  <c r="D714"/>
  <c r="G11" i="42"/>
  <c r="G595" i="25"/>
  <c r="F604"/>
  <c r="F119" i="17"/>
  <c r="D718" i="25"/>
  <c r="G183"/>
  <c r="G4" i="41"/>
  <c r="G6" s="1"/>
  <c r="H6" s="1"/>
  <c r="G4" i="44"/>
  <c r="G6" s="1"/>
  <c r="H6" s="1"/>
  <c r="G64" i="46"/>
  <c r="C4" i="44"/>
  <c r="C6" s="1"/>
  <c r="C4" i="41"/>
  <c r="C6" s="1"/>
  <c r="H64" i="46"/>
  <c r="E89" i="39"/>
  <c r="E88" s="1"/>
  <c r="F120" i="17" s="1"/>
  <c r="D94" i="39"/>
  <c r="G79" i="42"/>
  <c r="G458" i="25"/>
  <c r="F100" i="42"/>
  <c r="G100" s="1"/>
  <c r="G99"/>
  <c r="G465" i="43"/>
  <c r="F552"/>
  <c r="F167" i="17"/>
  <c r="G156"/>
  <c r="D719" i="25" l="1"/>
  <c r="D720" s="1"/>
  <c r="F6" i="41"/>
  <c r="C11"/>
  <c r="F11" s="1"/>
  <c r="F460" i="25"/>
  <c r="F81" i="42"/>
  <c r="G119" i="17"/>
  <c r="H167"/>
  <c r="G167"/>
  <c r="F645" i="25"/>
  <c r="G645" s="1"/>
  <c r="G604"/>
  <c r="F461"/>
  <c r="G461" s="1"/>
  <c r="F82" i="42"/>
  <c r="G82" s="1"/>
  <c r="G120" i="17"/>
  <c r="F554" i="43"/>
  <c r="E600"/>
  <c r="H591"/>
  <c r="G552"/>
  <c r="D98" i="39"/>
  <c r="E98" s="1"/>
  <c r="E97" s="1"/>
  <c r="F122" i="17" s="1"/>
  <c r="E94" i="39"/>
  <c r="E93" s="1"/>
  <c r="F121" i="17" s="1"/>
  <c r="F114" s="1"/>
  <c r="C11" i="44"/>
  <c r="F11" s="1"/>
  <c r="F6"/>
  <c r="H455" i="25" l="1"/>
  <c r="F126" i="17"/>
  <c r="G114"/>
  <c r="G81" i="42"/>
  <c r="F76"/>
  <c r="F463" i="25"/>
  <c r="G463" s="1"/>
  <c r="G122" i="17"/>
  <c r="F84" i="42"/>
  <c r="G84" s="1"/>
  <c r="D13" i="39"/>
  <c r="E13" s="1"/>
  <c r="F16" i="41"/>
  <c r="F15"/>
  <c r="F14"/>
  <c r="F25" i="44"/>
  <c r="F24"/>
  <c r="G121" i="17"/>
  <c r="F83" i="42"/>
  <c r="G83" s="1"/>
  <c r="F462" i="25"/>
  <c r="G462" s="1"/>
  <c r="G600" i="43"/>
  <c r="E597"/>
  <c r="F600"/>
  <c r="G460" i="25"/>
  <c r="E114" i="39"/>
  <c r="F88" i="42" l="1"/>
  <c r="G88" s="1"/>
  <c r="G76"/>
  <c r="G597" i="43"/>
  <c r="F597"/>
  <c r="I455" i="25"/>
  <c r="F455"/>
  <c r="H485"/>
  <c r="H402" i="43"/>
  <c r="G126" i="17"/>
  <c r="H15" i="41"/>
  <c r="D45" i="39"/>
  <c r="H14" i="41"/>
  <c r="D5" i="39"/>
  <c r="D10" l="1"/>
  <c r="E10" s="1"/>
  <c r="F53" i="17" s="1"/>
  <c r="D11" i="39"/>
  <c r="E11" s="1"/>
  <c r="F54" i="17" s="1"/>
  <c r="D6" i="39"/>
  <c r="E5"/>
  <c r="D12"/>
  <c r="E12" s="1"/>
  <c r="F55" i="17" s="1"/>
  <c r="D14" i="39"/>
  <c r="E14" s="1"/>
  <c r="F57" i="17" s="1"/>
  <c r="D9" i="39"/>
  <c r="E9" s="1"/>
  <c r="F52" i="17" s="1"/>
  <c r="D8" i="39"/>
  <c r="E8" s="1"/>
  <c r="F51" i="17" s="1"/>
  <c r="D7" i="39"/>
  <c r="E7" s="1"/>
  <c r="F50" i="17" s="1"/>
  <c r="D51" i="39"/>
  <c r="E51" s="1"/>
  <c r="F93" i="17" s="1"/>
  <c r="D46" i="39"/>
  <c r="E46" s="1"/>
  <c r="F88" i="17" s="1"/>
  <c r="D47" i="39"/>
  <c r="E47" s="1"/>
  <c r="F89" i="17" s="1"/>
  <c r="D49" i="39"/>
  <c r="E49" s="1"/>
  <c r="F91" i="17" s="1"/>
  <c r="D48" i="39"/>
  <c r="E48" s="1"/>
  <c r="F90" i="17" s="1"/>
  <c r="D50" i="39"/>
  <c r="E50" s="1"/>
  <c r="F92" i="17" s="1"/>
  <c r="E45" i="39"/>
  <c r="G455" i="25"/>
  <c r="F485"/>
  <c r="G91" i="17" l="1"/>
  <c r="F297" i="25"/>
  <c r="G297" s="1"/>
  <c r="H91" i="17"/>
  <c r="F55" i="42"/>
  <c r="G55" s="1"/>
  <c r="I55" i="17"/>
  <c r="H55"/>
  <c r="G55"/>
  <c r="F192" i="25"/>
  <c r="G192" s="1"/>
  <c r="F20" i="42"/>
  <c r="G20" s="1"/>
  <c r="F190" i="25"/>
  <c r="G190" s="1"/>
  <c r="G53" i="17"/>
  <c r="F18" i="42"/>
  <c r="G18" s="1"/>
  <c r="H53" i="17"/>
  <c r="I53"/>
  <c r="G485" i="25"/>
  <c r="E715"/>
  <c r="F59" i="42"/>
  <c r="G59" s="1"/>
  <c r="F57"/>
  <c r="G57" s="1"/>
  <c r="F299" i="25"/>
  <c r="G299" s="1"/>
  <c r="G93" i="17"/>
  <c r="H57"/>
  <c r="F21" i="42"/>
  <c r="G21" s="1"/>
  <c r="F194" i="25"/>
  <c r="G194" s="1"/>
  <c r="I57" i="17"/>
  <c r="G57"/>
  <c r="H54"/>
  <c r="F191" i="25"/>
  <c r="G191" s="1"/>
  <c r="G54" i="17"/>
  <c r="F19" i="42"/>
  <c r="G19" s="1"/>
  <c r="I54" i="17"/>
  <c r="F294" i="25"/>
  <c r="G294" s="1"/>
  <c r="H88" i="17"/>
  <c r="G88"/>
  <c r="F52" i="42"/>
  <c r="G52" s="1"/>
  <c r="D15" i="39"/>
  <c r="E15" s="1"/>
  <c r="F58" i="17" s="1"/>
  <c r="E6" i="39"/>
  <c r="F49" i="17" s="1"/>
  <c r="H50"/>
  <c r="F187" i="25"/>
  <c r="G187" s="1"/>
  <c r="G50" i="17"/>
  <c r="I50"/>
  <c r="F15" i="42"/>
  <c r="G15" s="1"/>
  <c r="F54"/>
  <c r="G54" s="1"/>
  <c r="F296" i="25"/>
  <c r="G296" s="1"/>
  <c r="H90" i="17"/>
  <c r="G90"/>
  <c r="F56" i="42"/>
  <c r="G56" s="1"/>
  <c r="F298" i="25"/>
  <c r="G298" s="1"/>
  <c r="G92" i="17"/>
  <c r="I52"/>
  <c r="F189" i="25"/>
  <c r="G189" s="1"/>
  <c r="F17" i="42"/>
  <c r="G17" s="1"/>
  <c r="G52" i="17"/>
  <c r="H52"/>
  <c r="E61" i="39"/>
  <c r="F87" i="17"/>
  <c r="F53" i="42"/>
  <c r="G53" s="1"/>
  <c r="H89" i="17"/>
  <c r="F295" i="25"/>
  <c r="G295" s="1"/>
  <c r="G89" i="17"/>
  <c r="H51"/>
  <c r="I51"/>
  <c r="F16" i="42"/>
  <c r="G16" s="1"/>
  <c r="G51" i="17"/>
  <c r="F188" i="25"/>
  <c r="G188" s="1"/>
  <c r="E27" i="39"/>
  <c r="E115" s="1"/>
  <c r="E148" s="1"/>
  <c r="F48" i="17"/>
  <c r="G48" l="1"/>
  <c r="F47"/>
  <c r="F185" i="25"/>
  <c r="I48" i="17"/>
  <c r="F13" i="42"/>
  <c r="H48" i="17"/>
  <c r="F86"/>
  <c r="F51" i="42"/>
  <c r="H87" i="17"/>
  <c r="F293" i="25"/>
  <c r="G87" i="17"/>
  <c r="F195" i="25"/>
  <c r="G195" s="1"/>
  <c r="G58" i="17"/>
  <c r="F22" i="42"/>
  <c r="G22" s="1"/>
  <c r="I58" i="17"/>
  <c r="I49"/>
  <c r="F186" i="25"/>
  <c r="G186" s="1"/>
  <c r="F14" i="42"/>
  <c r="G14" s="1"/>
  <c r="H49" i="17"/>
  <c r="G49"/>
  <c r="E718" i="25"/>
  <c r="G13" i="42" l="1"/>
  <c r="F12"/>
  <c r="F292" i="25"/>
  <c r="G293"/>
  <c r="H47" i="17"/>
  <c r="F85"/>
  <c r="G47"/>
  <c r="F109"/>
  <c r="G86"/>
  <c r="H86"/>
  <c r="F184" i="25"/>
  <c r="G185"/>
  <c r="F50" i="42"/>
  <c r="G51"/>
  <c r="I59" i="17"/>
  <c r="H109" l="1"/>
  <c r="H315" i="25"/>
  <c r="G109" i="17"/>
  <c r="F49" i="42"/>
  <c r="G12"/>
  <c r="G184" i="25"/>
  <c r="F222"/>
  <c r="G50" i="42"/>
  <c r="F75"/>
  <c r="G75" s="1"/>
  <c r="H85" i="17"/>
  <c r="G85"/>
  <c r="F142"/>
  <c r="F315" i="25"/>
  <c r="G315" s="1"/>
  <c r="G292"/>
  <c r="F183" i="17" l="1"/>
  <c r="H142"/>
  <c r="G142"/>
  <c r="G222" i="25"/>
  <c r="E709"/>
  <c r="F549"/>
  <c r="G49" i="42"/>
  <c r="F89"/>
  <c r="F661" i="25" l="1"/>
  <c r="G549"/>
  <c r="F709"/>
  <c r="G709"/>
  <c r="H183" i="17"/>
  <c r="G183"/>
  <c r="H126" i="42"/>
  <c r="F662" i="25"/>
  <c r="F671" s="1"/>
  <c r="H562" i="43"/>
  <c r="H671" i="25"/>
  <c r="G89" i="42"/>
  <c r="F116"/>
  <c r="F117" l="1"/>
  <c r="G116"/>
  <c r="H155"/>
  <c r="F663" i="25"/>
  <c r="G661"/>
  <c r="G662"/>
  <c r="E714"/>
  <c r="E710"/>
  <c r="H700"/>
  <c r="F710" l="1"/>
  <c r="F711" s="1"/>
  <c r="E706"/>
  <c r="G710"/>
  <c r="E719"/>
  <c r="F716"/>
  <c r="F717"/>
  <c r="F715"/>
  <c r="F718"/>
  <c r="F706" l="1"/>
  <c r="G706"/>
  <c r="F719"/>
  <c r="E720"/>
  <c r="F720" s="1"/>
</calcChain>
</file>

<file path=xl/sharedStrings.xml><?xml version="1.0" encoding="utf-8"?>
<sst xmlns="http://schemas.openxmlformats.org/spreadsheetml/2006/main" count="2118" uniqueCount="872">
  <si>
    <t xml:space="preserve">umowy zlecenia: prowadzenie zajęć dodatkowych w czasie ferii i wakacji,zajęć rekreacyjno-sportowych i inne prace zlecone   </t>
  </si>
  <si>
    <t>Świetlica szkolna Komorów - zakup materiałów biurowych,  wyposażenia i inne</t>
  </si>
  <si>
    <t>Świetlica szkolna Michałowice - zakup wyposażenia (mebli i wykładziny) i inne</t>
  </si>
  <si>
    <t>zakup wyposażenia (mebli i wykładziny) i inne</t>
  </si>
  <si>
    <t>Refundacja kosztów ponoszonych przez inne gminy za pobyt dzieci w przedszkolach publicznych</t>
  </si>
  <si>
    <t xml:space="preserve"> zakup materiałów biurowych, wyposażenia  i inne</t>
  </si>
  <si>
    <t>W projekcie planu finansowego proszę o zaplanowanie  wydatków inwestycyjnych w kwocie 15 000 zł na zakup kosiarki-traktorka dla szkoły podstawowej w Nowej Wsi</t>
  </si>
  <si>
    <t>Liczba dzieci</t>
  </si>
  <si>
    <t>Przedszkole Michałowice- umowy zlecenia</t>
  </si>
  <si>
    <t xml:space="preserve">umowy zlecenia </t>
  </si>
  <si>
    <t>Przedszkole Michałowice - wydatki na podróże służbowe krajowe i zwrot kosztów za używanie przez pracowników własnych pojazdów do celów służbowych w granicach administracyjnych gminy</t>
  </si>
  <si>
    <t>Przedszkole niepubliczne "Bavi" w Pęcicach</t>
  </si>
  <si>
    <t xml:space="preserve">nagroda jubileuszowa </t>
  </si>
  <si>
    <t>zakup materiałów i wyposażenia i inne</t>
  </si>
  <si>
    <t xml:space="preserve">umowy zlecenia ( malowanie pomieszczeń do zajęć dodatkowych oraz sekretariatu) </t>
  </si>
  <si>
    <t xml:space="preserve">Przedszkole Nowa Wieś umowy zlecenia ( malowanie pomieszczeń do zajęć dodatkowych oraz sekretariatu) </t>
  </si>
  <si>
    <t>Odpisy na zakładowy fundusz świadczeń socjalnych - wydatki ponoszone zgodnie z przepisami ustawy o zakładowym funduszu świadczeń socjalnych i ustawy - Karta Nauczyciela</t>
  </si>
  <si>
    <t>szkolenia pracowników administracji</t>
  </si>
  <si>
    <t>Zakup pomocy naukowych, dydaktycznych i książek</t>
  </si>
  <si>
    <t>Ilość dzieci</t>
  </si>
  <si>
    <t>Pruszków</t>
  </si>
  <si>
    <t>Piastów</t>
  </si>
  <si>
    <t>Warszawa</t>
  </si>
  <si>
    <t>Brwinów</t>
  </si>
  <si>
    <t>Nadarzyn</t>
  </si>
  <si>
    <t>Kwota m-czna</t>
  </si>
  <si>
    <t>Kwota należna</t>
  </si>
  <si>
    <t>wycenę prac remontowych na 2011r</t>
  </si>
  <si>
    <t>Czy takie kwoty zostają w ubezpieczeniach budynków i mienia?</t>
  </si>
  <si>
    <t>Przedszkole Michałowice - wydatki ponoszone zgodnie z ustawą o dodatkowym wynagrodzeniu rocznym dla pracowników jednostek sfery budżetowej</t>
  </si>
  <si>
    <t>Przedszkole Nowa Wieś - wydatki ponoszone zgodnie z ustawą o dodatkowym wynagrodzeniu rocznym dla pracowników jednostek sfery budżetowej</t>
  </si>
  <si>
    <t>Szkoła Michałowice -  ubezpieczenie  rzeczowe</t>
  </si>
  <si>
    <t xml:space="preserve">Szkoła Nowa Wieś - ubezpieczenie rzeczowe </t>
  </si>
  <si>
    <t xml:space="preserve">W projekcie planu finansowego na 2010 rok w Zespole Szkół Ogólnokształcących w Komorowie zaplanowano w wydatkach płacowych w Szkole Podstawowej 2 awanse na nauczyciela mianowanego i 3 awanse na dyplomowanego, ( w 2009 - 1 kontr), zaplanowano wypłaty nagród jubileuszowych dla 7 nauczycieli i dla 4 pracowników obsługi ( w 2009r 2 nauczycieli i dla 4 pracowników obsługi), zaplanowano 1 odprawę emerytalną dla nauczyciela ( w 2009r. wypłacono dla 2 nauczycieli). </t>
  </si>
  <si>
    <t>placówki niepubliczne</t>
  </si>
  <si>
    <t>zfśs</t>
  </si>
  <si>
    <t>plan</t>
  </si>
  <si>
    <t>%</t>
  </si>
  <si>
    <t>Dotacje dla przedszkoli niepublicznych i oddziały przedszkolne w szkołach podstawowych</t>
  </si>
  <si>
    <t>Ogółem dotacje</t>
  </si>
  <si>
    <t xml:space="preserve">, </t>
  </si>
  <si>
    <t>Gimnazjum Nowa Wieś -  ubezpieczenia rzeczowe</t>
  </si>
  <si>
    <t>Planowane  zwiekszone wydatki  w rozdziale "Dowożenie uczniów do szkół"  wynikają z większej ilości dzieci dowożonych dzieci do szkoły oraz wzrostu cen usług przewozowych i biletów.</t>
  </si>
  <si>
    <t xml:space="preserve">W projekcie planu finansowego dla Gimnazjum w wydatkach płacowych planowane są wypłaty nagród jubileuszowych dla 5 nauczycieli (w 2009r. 3 nauczyciel i 1 osoby z obsługi ), zaplanowano odprawy emerytalne dla 2 nauczycieli (w 2009 - 1 obsługa). Planowany jest  jeden awans na nauczyciela kontraktowego i 1 na dyplomowanego (w 2009r.1 dyplomowany). </t>
  </si>
  <si>
    <t xml:space="preserve">wydatki na które otrzymujemy subwencje </t>
  </si>
  <si>
    <t xml:space="preserve">składki na ubezpieczenia społeczne                      </t>
  </si>
  <si>
    <t xml:space="preserve">składki na Fundusz Pracy                                </t>
  </si>
  <si>
    <t>85401 Świetlice szkolne : Razem</t>
  </si>
  <si>
    <t>Przedszkole Michałowice - opłaty za dostawę energii elektrycznej, gazu  i wody</t>
  </si>
  <si>
    <t xml:space="preserve">801 Oświata i wychowanie - Razem                                    </t>
  </si>
  <si>
    <t>80309 Pomoc materialna dla studentów: Razem</t>
  </si>
  <si>
    <t>Rozdz 85305 par. 2830   Żłobki - Razem</t>
  </si>
  <si>
    <t>ilość</t>
  </si>
  <si>
    <t>kwota</t>
  </si>
  <si>
    <t>Razem</t>
  </si>
  <si>
    <t>Gimnazjum Nowa Wieś- szkolenie pracowników administracji</t>
  </si>
  <si>
    <t>Przedszkole Nowa Wieś - składki na ubezpieczenia społeczne</t>
  </si>
  <si>
    <t xml:space="preserve">Przedszkole Michałowice - składki na fundusz pracy </t>
  </si>
  <si>
    <t xml:space="preserve">Przedszkole Nowa Wieś - składki na fundusz pracy </t>
  </si>
  <si>
    <t xml:space="preserve">Świetlica szkolna Michałowice- zakup pomocy naukowych, dydaktycznych i książek </t>
  </si>
  <si>
    <t>Przedszkole Michałowice - ubezpieczenia rzeczowe</t>
  </si>
  <si>
    <t>Przedszkole Nowa Wieś - ubezpieczenia rzeczowe</t>
  </si>
  <si>
    <t>Gimnazjum Nowa Wieś - usł.konserwacyjne, naprawcze maszyn, śr.transportu, urządzeń sprzętu</t>
  </si>
  <si>
    <t>subwencja</t>
  </si>
  <si>
    <t>wydatki ogółem</t>
  </si>
  <si>
    <t>Gimnazjum Nowa Wieś - wydatki ponoszone zgodnie z ustawą o dodatkowym wynagrodzeniu rocznym dla pracowników jednostek sfery budżetowej</t>
  </si>
  <si>
    <t>80104 Przedszkola : Razem</t>
  </si>
  <si>
    <t>Świetlica szkolna Nowa Wieś wydatki ponoszone zgodnie z ustawą o dodatkowym wynagrodzeniu rocznym dla pracowników jednostek sfery budżetowej</t>
  </si>
  <si>
    <t xml:space="preserve">Świetlica szkolna Komorów składki na ubezpieczenia społeczne </t>
  </si>
  <si>
    <t xml:space="preserve"> SP Nowa Wieś dodatkowe dwa oddziały od wrzesnia 2014r</t>
  </si>
  <si>
    <t>wyłożenie kostka chodnika  8 000zł</t>
  </si>
  <si>
    <t>urlop dla poratowania zdrowia   63 400zł</t>
  </si>
  <si>
    <t>prace remontowe od lipca tapetowanie sal dydaktycznych i korytarzy   60 000 zł</t>
  </si>
  <si>
    <t xml:space="preserve"> SP Nowa Wieś dodatkowy oddział od września 2014r</t>
  </si>
  <si>
    <t>stypendia im Jana Pawła II  dla studentów</t>
  </si>
  <si>
    <t xml:space="preserve">Świetlica szkolna Nowa Wieś - składki na Fundusz Pracy                                 </t>
  </si>
  <si>
    <t xml:space="preserve">Świetlica szkolna Nowa Wieś składki na ubezpieczenia społeczne </t>
  </si>
  <si>
    <t>Gimnazjum Komorów - ubezpieczenia rzeczowe</t>
  </si>
  <si>
    <t>Przedszkole Michałowice - szkolenia pracowników administracji</t>
  </si>
  <si>
    <t>Przedszkole niepubliczne "Prestige for Kids" w Komorowie</t>
  </si>
  <si>
    <t>Przedszkole niepubliczne "Baśniolandia" w Nowej Wsi</t>
  </si>
  <si>
    <t>Punk Przedszkolny "Słoneczna Kraina" w Komorowie</t>
  </si>
  <si>
    <t>Punk Przedszkolny "Adaś" w Michałowicach</t>
  </si>
  <si>
    <t xml:space="preserve">Gimnazjum Michałowice - zakup pomocy naukowych, dydaktycznych i książek </t>
  </si>
  <si>
    <t xml:space="preserve">szkolenia pracowników </t>
  </si>
  <si>
    <t>niepubliczny żłobek "Radosny Brzdąc" w Komorowie</t>
  </si>
  <si>
    <t>Szkoła Nowa Wieś - wydatki ponoszone zgodnie z przepisami ustawy o zakładowym funduszu świadczeń socjalnych i ustawy - Karta Nauczyciela</t>
  </si>
  <si>
    <t xml:space="preserve">Szkolenia pracowników niebędących członkami korpusu służby cywilnej                                  </t>
  </si>
  <si>
    <t>Gimnazjum Nowa Wieś - wydatki z zakresu medycyny pracy obejmujące badania wstępne, okresowe i profilaktyczne pracowników</t>
  </si>
  <si>
    <t>Przy projekcie planu wydatków płacowych dla Zespole Szkół  Ogółnokształcących uwzględniono planowaną podwyżkę dla nauczycieli  od września 7%. Podwyżka dla obsługi i administracji zaplanowana została na poziomie 3%.</t>
  </si>
  <si>
    <t>80101 Szkoły podstawowe : Razem</t>
  </si>
  <si>
    <t>Punk Przedszkolny "Antoś" w Michałowicach</t>
  </si>
  <si>
    <t>Punk Przedszkolny "Misie Patysie" w Nowej Wsi</t>
  </si>
  <si>
    <t>Rezerwa oświatowa</t>
  </si>
  <si>
    <t xml:space="preserve"> SP Michałowice dodatkowe dwa oddziały od wrzesnia 2014r</t>
  </si>
  <si>
    <t>Plan 2013</t>
  </si>
  <si>
    <t xml:space="preserve"> Wydatki osobowe nie zaliczone do wynagrodzeń  </t>
  </si>
  <si>
    <t xml:space="preserve">Michałowice </t>
  </si>
  <si>
    <t>Szkoła Michałowice - wydatki z zakresu medycyny pracy obejmujące badania wstępne, okresowe i profilaktyczne pracowników</t>
  </si>
  <si>
    <t>Szkoła Nowa Wieś - wydatki z zakresu medycyny pracy obejmujące badania wstępne, okresowe i profilaktyczne pracowników</t>
  </si>
  <si>
    <t xml:space="preserve">Zakup usług pozostałych                                 </t>
  </si>
  <si>
    <t>Wynagrodzenie osobowe pracowników LO - subwencja oświatowa</t>
  </si>
  <si>
    <t>Składki na ubezpieczenia społeczne LO - subwencja oświatowa</t>
  </si>
  <si>
    <t>Składki na fundusz pracy SP - subwencja oświatowa</t>
  </si>
  <si>
    <t>Składki na fundusz pracy LO - subwencja oświatowa</t>
  </si>
  <si>
    <t xml:space="preserve">W projekcie planu finansowego w Liceum Ogólnokształcącym wydatki płacowe zaplanowano: 1 awans na nauczyciela mianowanego i 1 awans na kontraktowego (w 2009r -1 osoba na nauczyciela dyplomowanego). Zaplanowano  wypłaty nagród jubileuszowych dla 5 nauczycieli i dla 3 osób z obsługi ( w 2009r dla 1 osoby z obsługi ) oraz wypłatę odpraw emerytalnych dla 1 nauczyciela  ( w 2009r.nie było odpraw). </t>
  </si>
  <si>
    <t>Rozdz 80106 par. 2540 - Inne formy wychowania przedszkolnego - Razem</t>
  </si>
  <si>
    <t xml:space="preserve"> Gimnazjum Komorów - składki na ubezpieczenia społeczne</t>
  </si>
  <si>
    <t xml:space="preserve"> Gimnazjum Michałowice - składki na ubezpieczenia społeczne</t>
  </si>
  <si>
    <t xml:space="preserve"> Gimnazjum Nowa Wieś- składki na ubezpieczenia społeczne</t>
  </si>
  <si>
    <t xml:space="preserve">W projekcie planu budżetowego zostały zaplanowane zakupy inwestycyjnena zakup zmywarki przemysłowej do naczyń </t>
  </si>
  <si>
    <t>Zakup usług obejmujących wykonanie ekspertyz, analiz i opinii</t>
  </si>
  <si>
    <t>Przedszkole Nowa Wieś -opłaty związane z badaniem wody</t>
  </si>
  <si>
    <t>Przedszkole Michałowice-opłaty związane z badaniem wody</t>
  </si>
  <si>
    <t>opłaty związane z badaniem wody</t>
  </si>
  <si>
    <t xml:space="preserve">podróże służbowe krajowe - liceum                       </t>
  </si>
  <si>
    <t>niepubliczny żłobek "Mały Antoś" w Michałowicach</t>
  </si>
  <si>
    <t>niepubliczny żłobek "Misie Patysie" w Nowej Wsi</t>
  </si>
  <si>
    <t>niepubliczny żłobek w Komorowie przy Turkusowej</t>
  </si>
  <si>
    <t>stypendia socjalne - szkoły podstawowe</t>
  </si>
  <si>
    <t>stypendia socjalne -gimnazja</t>
  </si>
  <si>
    <t>zasiłki szkolne- szkoły podstawowe</t>
  </si>
  <si>
    <t>W projekcie planu finansowego  spadek wydatków płacowych w Oddziale Przedszkolnym "0" spowodowany zmniejszeniem zatrudnienia o 1 etat nauczycielski.</t>
  </si>
  <si>
    <t xml:space="preserve">Szkoła Nowa Wieś - usługi konserwacyjne, naprawcze maszyn, środków transportu, urządzeń, sprzętu szkolnego </t>
  </si>
  <si>
    <t>Zakup usług zdrowotnych</t>
  </si>
  <si>
    <t>wydatki na podróże służbowe krajowe</t>
  </si>
  <si>
    <t xml:space="preserve">Zakup pomocy naukowych,dydaktycznych i książek </t>
  </si>
  <si>
    <t>Przy projekcie planu na 2013 rok dla Gminnego Przedszkola w Michałowicach uwzględniono zaplanowano wypłatę 3 nagród jubileuszowych oraz 1 odprawę emerytalną.</t>
  </si>
  <si>
    <t>80104 Przedszkola (niepubliczne) : Razem</t>
  </si>
  <si>
    <t>80103 Oddziały przedszkolne w szkołach podstawowych : Razem</t>
  </si>
  <si>
    <t>Komorów 2010.09.15</t>
  </si>
  <si>
    <t>w tym dotacja 1 192 598zł i oddziały przedszkolne i przedszkole 272 620zł</t>
  </si>
  <si>
    <t>Gimnazjum Michałowice - wydatki ponoszone zgodnie z przepisami ustawy o zakładowym funduszu świadczeń socjalnych i ustawy - Karta Nauczyciela</t>
  </si>
  <si>
    <t xml:space="preserve"> Wydatki ogółem:</t>
  </si>
  <si>
    <t>Zadanie</t>
  </si>
  <si>
    <t>W projekcie planu finansowego  zmniejszenie wydatków płacowych w Świetlicy w stosunku do 2009 roku spowodowane jest wyodrębnieniem w projekcie budżetu rozdziału Stołówki szkolne</t>
  </si>
  <si>
    <t>W projekcie planu finansowego  wzrost wydatków płacowych w Oddziale Przedszkolnym "0" spowodowany jest zatrudnieniem 2 etatów nauczycielskich do utworzonego od września 2 dodatkowych oddziałów przedszkolnych. Nie jest planowane wypłaty nagród jubileuszowych ( w 2009r.1 nagroda dla nauczyciela).</t>
  </si>
  <si>
    <t>zakup środków czystości, materiałów biurowych, pismiennych, prenumeraty, wyposażenia i inne</t>
  </si>
  <si>
    <t xml:space="preserve">W projekcie planu wydatków na remonty uwzględnione zostały prace remontowe (budynek nr 1 malowanie oraz wymiana drzwi przy magazynku WF przy sali gimnastycznej, naprawa instalacji odgromowej, remont sanitariatu służby zdrowia, wymiana glazury, terakoty, urządzeń sanitarnych, remont starej hydrofornii, demontaż wyciagu po starej kotłowni węglowej, naprawa uszkodzonej wyprawy tynkarskiej na elewacjii budynku oraz malowanie, remont wnęk piwnicznych, montaż wentylacji mechanicznej, naprawa dachu. Budynek nr 2 - remont 6 łazienek, malowanie pokoju nauczycielskiego, przełożenie, cyklinowanie i lakierowanie korytarza szkolnego na parterze, I i II piętrze, remont schodów do kotłowni gazowej, naprawa ubytków tynku, malowanie, zamontowanie poręczy, wymiana drzwi na atestowane z zamkiem kulkowym, założenie izolacji na rurociagach, naprawa uszkodzeń obitki i uzupełnienie braków przy dachu, naprawa parapewtów i obróbek blacharskich,  naprawa uszkodzonej wyprawy tynkarskiej na elewacjii budynku, naprawa kominów. Budynek nr 3 - cyklinowanie i lakierowanie 6 klas lekcyjnych, pokoju pedagoga oraz korytarzy parter, I i II piętro, remont szatni. </t>
  </si>
  <si>
    <t>Szkoła Michałowice - wydatki ponoszone zgodnie z przepisami ustawy o zakładowym funduszu świadczeń socjalnych i ustawy - Karta Nauczyciela</t>
  </si>
  <si>
    <t>Gimnazjum Komorów - wydatki ponoszone zgodnie z przepisami ustawy o zakładowym funduszu świadczeń socjalnych i ustawy - Karta Nauczyciela</t>
  </si>
  <si>
    <t>Świetlica szkolna Komorów - wydatki ponoszone zgodnie z przepisami ustawy o zakładowym funduszu świadczeń socjalnych i ustawy - Karta Nauczyciela</t>
  </si>
  <si>
    <t>Świetlica szkolna Michałowice - wydatki ponoszone zgodnie z przepisami ustawy o zakładowym funduszu świadczeń socjalnych i ustawy - Karta Nauczyciela</t>
  </si>
  <si>
    <t>Gimnazjum Michałowice - wydatki ponoszone zgodnie z ustawą o dodatkowym wynagrodzeniu rocznym dla pracowników jednostek sfery budżetowej</t>
  </si>
  <si>
    <t xml:space="preserve">Gimnazjum Michałowice - umowy zlecenia: prowadzenie zajęć dodatkowych w czasie ferii i wakacji,zajęć rekreacyjno-sportowych i inne prace zlecone </t>
  </si>
  <si>
    <t xml:space="preserve"> umowy zlecenia: prowadzenie zajęć dodatkowych w czasie ferii i wakacji,zajęć rekreacyjno-sportowych i inne prace zlecone </t>
  </si>
  <si>
    <t>Szkoła Komorów - wydatki ponoszone zgodnie z ustawą o dodatkowym wynagrodzeniu rocznym dla pracowników jednostek sfery budżetowej</t>
  </si>
  <si>
    <t>świadczenia rzeczowe wynikające z przepisów BHP-zakup napojów i zwrot kosztów zakupu okularów korygujących</t>
  </si>
  <si>
    <t xml:space="preserve">Gimnazjum Michałowice- wydatki na podróże służbowe zagraniczne pracowników własnych                          </t>
  </si>
  <si>
    <t>Przedszkole Michałowice- prace remontowe w budynku przedszkolnym</t>
  </si>
  <si>
    <t>Wydatek inwestycyjny zakup pieca elektrycznego  5 000zł</t>
  </si>
  <si>
    <t>zakup kosiarki-traktora</t>
  </si>
  <si>
    <t xml:space="preserve"> zakup wyposażenia  i inne</t>
  </si>
  <si>
    <t xml:space="preserve">Szkoła Nowa Wieś - zakup wyposażenia  i inne  </t>
  </si>
  <si>
    <t xml:space="preserve">delegacje zagraniczne nauczycieli związane z wymianą zagraniczną młodzieży </t>
  </si>
  <si>
    <t xml:space="preserve"> zakupy - wymiana zagraniczna młodzieży </t>
  </si>
  <si>
    <t>usługi - wymiana zagraniczna młodzieży</t>
  </si>
  <si>
    <t xml:space="preserve">wydatki związane z wymianą zagraniczną młodzieży </t>
  </si>
  <si>
    <t xml:space="preserve">usługi związane z wymianą zagraniczną  młodzieży </t>
  </si>
  <si>
    <t xml:space="preserve">delegacje zagraniczne nauczycieli związane z wymianą zagraniczną młodziezy </t>
  </si>
  <si>
    <t xml:space="preserve">Michałowice usługi wymianą zagraniczna dzieci i młodzieży </t>
  </si>
  <si>
    <t xml:space="preserve">Nowa Wieś usługi wymianą zagraniczna dzieci i młodzieży </t>
  </si>
  <si>
    <t xml:space="preserve">Komorów usługi- wymianą zagraniczna dzieci i młodzieży </t>
  </si>
  <si>
    <t xml:space="preserve">Michałowice- umowy związane z wymianą zagraniczna młodzieży </t>
  </si>
  <si>
    <t xml:space="preserve">Komorów-umowy zlecenia-wymiana zagraniczna młodzieży </t>
  </si>
  <si>
    <t xml:space="preserve">Komorów zakupy- wymiana zagraniczna młodzieży </t>
  </si>
  <si>
    <t xml:space="preserve">Michałowice zakupy wymiana zagraniczna młodzieży </t>
  </si>
  <si>
    <t xml:space="preserve">Nowa Wieś zakupy wymiana zagraniczna młodzieży </t>
  </si>
  <si>
    <t xml:space="preserve">Komorów delegacje zagraniczne nauczycieli - wymiana zagraniczna młodzieży </t>
  </si>
  <si>
    <t xml:space="preserve">Michałowice delegacje zagraniczne nauczycieli -wymiana zagraniczna młodzieży </t>
  </si>
  <si>
    <t xml:space="preserve">Nowa Wieś delegacje zagraniczne nauczycieli - wymiana zagraniczna  młodzieży </t>
  </si>
  <si>
    <t xml:space="preserve">W projekcie budżetu na 2010r. zostały uwzględnione środki finansowe otrzymywane z  wynajmu masztów: w szkole postawowej 72 500 zł, w gimnazjum 57 500 zł. </t>
  </si>
  <si>
    <t xml:space="preserve">usługi konserwacyjne, naprawcze maszyn, środków transportu,urządzeń, sprzętu szkolnego </t>
  </si>
  <si>
    <t>opłaty za dostawę gazu, energii elektrycznej, gazu i wody</t>
  </si>
  <si>
    <t>80113 Dowożenie uczniów : Razem</t>
  </si>
  <si>
    <t>dowóz dzieci do szkół</t>
  </si>
  <si>
    <t>dowóz dzieci niepełnosprawnych</t>
  </si>
  <si>
    <t xml:space="preserve">opłaty za szkolenia nauczycieli - szkoła podstawowa </t>
  </si>
  <si>
    <t xml:space="preserve">Świetlica szkolna Nowa Wieś - zakup pomocy naukowych, dydaktycznych i książek </t>
  </si>
  <si>
    <t xml:space="preserve">Zakup pomocy naukowych, dydaktycznych i książek         </t>
  </si>
  <si>
    <t>Szkoła Komorów  - zakup pomocy naukowych, dydaktycznych i książek</t>
  </si>
  <si>
    <t>Wynagrodzenia osobowe</t>
  </si>
  <si>
    <t>Liczba dzieci w przedszkolach gminnych</t>
  </si>
  <si>
    <t>Razem dzieci</t>
  </si>
  <si>
    <t>Przedszkole Michałowice - zakup nagród za udział w konkursach</t>
  </si>
  <si>
    <t>zakup nagród za udział w konkursach</t>
  </si>
  <si>
    <t>wzrost w ciągu roku</t>
  </si>
  <si>
    <t>zakup podręczników- dotacja</t>
  </si>
  <si>
    <t xml:space="preserve">Opłaty z tytułu zakupu usług telekomunikacyjnych   </t>
  </si>
  <si>
    <t xml:space="preserve">Gimnazjum Michałowice - opłaty za telefon i internet                            </t>
  </si>
  <si>
    <t>Gimnazjum Nowa Wieś  - opłaty za telefon i internet</t>
  </si>
  <si>
    <t xml:space="preserve"> wynagrodzenie osobowe pracowników, urlop dla poratowania zdrowia i nagrody specjalne DEN </t>
  </si>
  <si>
    <t>Świetlica szkolna Michałowice - wynagrodzenie osobowe pracowników, awanse nauczycielskie i nagrody specjalne DEN</t>
  </si>
  <si>
    <t>Świetlica szkolna Nowa Wieś - wynagrodzenie osobowe pracowników, awanse nauczycielskie, nagrody specjalne DEN</t>
  </si>
  <si>
    <t>wynagrodzenie osobowe pracowników, awanse nauczycielskie, nagrody specjalne DEN</t>
  </si>
  <si>
    <t xml:space="preserve">Świetlica szkolna Michałowice - składki na Fundusz Pracy </t>
  </si>
  <si>
    <t>Przedszkole Michałowice - składki na ubezpieczenia społeczne</t>
  </si>
  <si>
    <t>Szkoła Komorów - usługi konserwacyjne, naprawcze maszyn, środków  transportu,urządzeń, sprzętu szkolnego</t>
  </si>
  <si>
    <t xml:space="preserve">Szkoła Michałowice - usługi konserwacyjne, naprawcze maszyn, środków transportu,urządzeń, sprzętu szkolnego </t>
  </si>
  <si>
    <t>Plan po zmianach XI 2013</t>
  </si>
  <si>
    <t>Dzieci uczęszczające do naszych przedszkoli z innych gmin</t>
  </si>
  <si>
    <t>Rozdz.80104 par. 2540- Przedszkola niepubliczne - Razem</t>
  </si>
  <si>
    <t>Szkoła Nowa Wieś - zakup pomocy naukowych, dydaktycznych i książek</t>
  </si>
  <si>
    <t xml:space="preserve">Podróże służbowe krajowe                                </t>
  </si>
  <si>
    <t>Gimnazjum Nowa Wieś - wydatki ponoszone zgodnie z przepisami ustawy o zakładowym funduszu świadczeń socjalnych i ustawy - Karta Nauczyciela</t>
  </si>
  <si>
    <t>Grodzisk Mazowiecki</t>
  </si>
  <si>
    <t xml:space="preserve"> wydatki z zakresu medycyny pracy obejmujące badania wstępne, okresowe i profilaktyczne pracowników</t>
  </si>
  <si>
    <t>Planowane opłaty za korzystanie z wych przedszk M-ce</t>
  </si>
  <si>
    <t>Planowane opłaty za korzystanie z wych przedszk NW</t>
  </si>
  <si>
    <t>wydatki ponoszone zgodnie z ustawą o dodatkowym wynagrodzeniu rocznym dla pracowników jednostek sfery budżetowej</t>
  </si>
  <si>
    <t>Wynagrodzenie bezosobowe</t>
  </si>
  <si>
    <t>ubezpieczenie  rzeczowe</t>
  </si>
  <si>
    <t>Szkoła Michałowice - opłaty za przesyłki pocztowe</t>
  </si>
  <si>
    <t>Raszyn</t>
  </si>
  <si>
    <t>Szkoła Nowa Wieś - opłaty za przesyłki pocztowe</t>
  </si>
  <si>
    <t>opłaty za przesyłki pocztowe</t>
  </si>
  <si>
    <t xml:space="preserve">Gimnazjum Komorów - umowy zlecenia: prowadzenie zajęć dodatkowych w czasie ferii i wakacji,zajęć rekreacyjno-sportowych i inne prace zlecone   </t>
  </si>
  <si>
    <t xml:space="preserve">nagrody jubileuszowe </t>
  </si>
  <si>
    <t>Szkoła Komorów - umowy zlecenia prowadzenie zajęć dodatkowych w czasie ferii i wakacj oraz zajęć sportowych-koszykówka i inne prace zlecone</t>
  </si>
  <si>
    <t>Szkoła Nowa Wieś -umowy zlecenia: prowadzenie zajęć dodatkowych w czasie ferii i wakacji, warsztaty plastyczne, zajęcia modelarskie i turystyczne, opieka medyczna na zawodach sportowych inne prace zlecone</t>
  </si>
  <si>
    <t>umowy zlecenia: prowadzenie zajęć dodatkowych w czasie ferii i wakacji, warsztaty plastyczne, zajęcia modelarskie i turystyczne, opieka medyczna na zawodach sportowych inne prace zlecone</t>
  </si>
  <si>
    <t>wydatki na podróże służbowe krajowe i zwrot kosztów za używanie przez pracowników własnych pojazdów do celów służbowych w granicach administracyjnych gminy</t>
  </si>
  <si>
    <t>Studenci</t>
  </si>
  <si>
    <t>Żłobki</t>
  </si>
  <si>
    <t>Niepełnosprawni</t>
  </si>
  <si>
    <t>umowy zlecenia - warsztaty plastyczne</t>
  </si>
  <si>
    <t>Gimnazjum Nowa Wieś-  umowy zlecenia: warsztaty plastyczne</t>
  </si>
  <si>
    <t xml:space="preserve"> Dodatkowe wynagrodzenie roczne - wydatki ponoszone zgodnie z ustawą o dodatkowym wynagrodzeniu rocznym dla pracowników jednostek sfery budżetowej</t>
  </si>
  <si>
    <t>Świetlica szkolna Nowa Wieś - wydatki ponoszone zgodnie z przepisami ustawy o zakładowym funduszu świadczeń socjalnych i ustawy - Karta Nauczyciela</t>
  </si>
  <si>
    <t>opłaty za szkolenia nauczycieli - szkoła podstawowa</t>
  </si>
  <si>
    <t>opłaty za szkolenia nauczycieli- gimnazjum</t>
  </si>
  <si>
    <t>opłaty za szkolenia nauczycieli- przedszkole</t>
  </si>
  <si>
    <t>opłaty za szkolenia nauczycieli- LO</t>
  </si>
  <si>
    <t>80146 Dokształcanie i doskonalenie nauczycieli : Razem</t>
  </si>
  <si>
    <t>80120 Licea ogólnokształcące : Razem</t>
  </si>
  <si>
    <t>Wynagrodzenia bezosobowe</t>
  </si>
  <si>
    <t>opłaty za dostawę energii elektrycznej, gazu i wody</t>
  </si>
  <si>
    <t>opłaty za kształcenie pobierane przez szkoły wyższe i zakłady kształcenia nauczycieli - przedszkole</t>
  </si>
  <si>
    <t xml:space="preserve">Zakup usług remontowych                                 </t>
  </si>
  <si>
    <t>W projekcie planu finansowego na 2010 rok w Zespole Szkół w Michałowicach w wydatkach płacowych w Szkole Podstawowej  planowane są awanse 2 nauczycieli, którzy uzyskają status nauczycieli kontraktowych, nauczycieli dyplomowanych 5 oraz 2 nauczycieli dyplomowanych (w 2009r. 2 kontr, 5 dyplom). Nie jest planowane odejście na emeryturę nauczycieli ( w 2009r. równiez nie było odpraw), zaplanowano wypłaty nagród jubileuszowych dla 9 nauczyciela i 2 osoby obsługi ( w 2009r.4 nauczycieli, 2 obsługa). Zaplanowano 2 zasiłki na zagospodarowanie.</t>
  </si>
  <si>
    <t>Przedszkole Michałowice</t>
  </si>
  <si>
    <t>Przedszkole Nowa Wieś</t>
  </si>
  <si>
    <t>Podkowa Leśna</t>
  </si>
  <si>
    <t>Szkolenie pracowników niebędących członkami korpusu służby cywilnej</t>
  </si>
  <si>
    <t xml:space="preserve">Nagrody i wydatki  osobowe nie zaliczone do wynagrodzeń  </t>
  </si>
  <si>
    <t>Gimnazjum Komorów  - zakup pomocy naukowych, dydaktycznych i książek</t>
  </si>
  <si>
    <t>podróże słuzbowe krajowe- szkoły podstawowe</t>
  </si>
  <si>
    <t>podróże słuzbowe krajowe- gimnazja</t>
  </si>
  <si>
    <t>podróże słuzbowe krajowe- liceum ogólnokształcące</t>
  </si>
  <si>
    <t>podróże słuzbowe krajowe- przedszkola</t>
  </si>
  <si>
    <t xml:space="preserve">podróże służbowe krajowe - szkoła podstawowa                               </t>
  </si>
  <si>
    <t xml:space="preserve">podróże służbowe krajowe - gimnazjum                          </t>
  </si>
  <si>
    <t>wyprawka szkolna -dotacja</t>
  </si>
  <si>
    <t>wyprawka szkolna dotacja</t>
  </si>
  <si>
    <t>dofinansowanie gminy do całego budżetu</t>
  </si>
  <si>
    <t>płace i pochodne szkół</t>
  </si>
  <si>
    <t>płace i pochodne zoeas</t>
  </si>
  <si>
    <t>płace i pochodne przedszkola</t>
  </si>
  <si>
    <t>Szkoła Nowa Wieś- składki na ubezpieczenia społeczne</t>
  </si>
  <si>
    <t>stypendia za osiagnięcia naukowe i sportowe-gimnazjum</t>
  </si>
  <si>
    <t>W projekcie planu finansowego wprowadzono Stołówki szkolne wydatki płacowe zaplanowano  na 5,5 etatów obsługi do prowadzenia stołówki szkolnej.</t>
  </si>
  <si>
    <t>niepubliczny żłobek "Smykusie" w Komorowie</t>
  </si>
  <si>
    <t>Przy projekcie planu wydatków płacowych dla Zespołu Szkół w Michałowicach uwzględniono planowaną podwyżkę dla nauczycieli od  września 8% . Podwyżka dla obsługi i administracji zaplanowana została na poziomie 5%.</t>
  </si>
  <si>
    <t>wynagrodzenie osobowe pracowników, awanse nauczycielskie i nagrody specjalne DEN</t>
  </si>
  <si>
    <t>Nazwa placówki</t>
  </si>
  <si>
    <t xml:space="preserve">Prywatne Przedszkole w Michałowicach               </t>
  </si>
  <si>
    <t>Przedszkole Michałowice - wydatki z zakresu medycyny pracy obejmujące badania wstępne, okresowe i profilaktyczne pracowników</t>
  </si>
  <si>
    <t>Przedszkole Nowa Wieś usł.konserwacyjne, naprawcze maszyn, śr.transportu, urządzeń, sprzętu</t>
  </si>
  <si>
    <t xml:space="preserve">Szkoła Komorów - składki na fundusz pracy </t>
  </si>
  <si>
    <t xml:space="preserve">Szkoła Michałowice - składki na fundusz pracy </t>
  </si>
  <si>
    <t xml:space="preserve">Szkoła Nowa Wieś - składki na fundusz pracy </t>
  </si>
  <si>
    <t>Szkoła Komorów - wpłaty na PFRON</t>
  </si>
  <si>
    <t>Szkoła Michałowice - wpłaty na PFRON</t>
  </si>
  <si>
    <t>Szkoła Nowa Wieś - wpłaty na PFRON</t>
  </si>
  <si>
    <t xml:space="preserve">Zakup materiałów i wyposażenia                          </t>
  </si>
  <si>
    <t>Gimnazjum Michałowice -szkolenie pracowników administracji</t>
  </si>
  <si>
    <t>wzrosty</t>
  </si>
  <si>
    <t>szkoły podst wynagr i pochodne</t>
  </si>
  <si>
    <t>dodatkowe wynagr</t>
  </si>
  <si>
    <t>ZFSS</t>
  </si>
  <si>
    <t>oddziały przedszkolne wynagr i pochodne</t>
  </si>
  <si>
    <t>przedszkola wynagr i pochodne</t>
  </si>
  <si>
    <t>gimnazja wynagr i pochodne</t>
  </si>
  <si>
    <t>licea wynagr i pochodne</t>
  </si>
  <si>
    <t>świetlica wynagr i pochodne</t>
  </si>
  <si>
    <t>Szkoła Michałowice - wydatki ponoszone zgodnie z ustawą o dodatkowym wynagrodzeniu rocznym dla pracowników jednostek sfery budżetowej</t>
  </si>
  <si>
    <t>szkolenie pracowników administracji</t>
  </si>
  <si>
    <t>Dz</t>
  </si>
  <si>
    <t>Wpłaty na PFRON</t>
  </si>
  <si>
    <t xml:space="preserve">opłaty za telefony </t>
  </si>
  <si>
    <t>Szkoła Nowa Wieś - nagrody konkursowe</t>
  </si>
  <si>
    <t xml:space="preserve">opłaty za telefon </t>
  </si>
  <si>
    <t xml:space="preserve">Zakup usług remontowych - subwencja oświatowa                             </t>
  </si>
  <si>
    <t>Zakup pomocy dydaktycznych SP- subwencja oświatowa</t>
  </si>
  <si>
    <t>Zakup usług SP - subwencja oświatowa</t>
  </si>
  <si>
    <t>Zakup usług Gimn- subwencja oświatowa</t>
  </si>
  <si>
    <t>Dodatki wiejskie i mieszkaniowe dla nauczycieli SP - subwencja oświatowa</t>
  </si>
  <si>
    <t>Wynagrodzenie osobowe pracowników SP - subwencja oświatowa</t>
  </si>
  <si>
    <t>Składki na ubezpieczenia społeczne SP - subwencja oświatowa</t>
  </si>
  <si>
    <t>Składki na fundusz pracy SP- subwencja oświatowa</t>
  </si>
  <si>
    <t>Ogółem liczba dzieci</t>
  </si>
  <si>
    <t xml:space="preserve">Składki na Fundusz Pracy                                </t>
  </si>
  <si>
    <t>Szkoła Komorów - ubezpieczenie rzeczowe</t>
  </si>
  <si>
    <t>20 dzieci*1000zł* 4 m-ce= 80 000 zł</t>
  </si>
  <si>
    <t>niepubliczny klub dziecięcy "Prestige for Kids" w Komorowie</t>
  </si>
  <si>
    <t>dotacja przedszkole</t>
  </si>
  <si>
    <t>dotacja punkt</t>
  </si>
  <si>
    <t>Rozdz 85306 par. 2830   Kluby dziecięce - Razem</t>
  </si>
  <si>
    <t>dotacje</t>
  </si>
  <si>
    <t xml:space="preserve">Szkoła Michałowice - zakup pomocy naukowych, dydaktycznych i książek </t>
  </si>
  <si>
    <t>róznica</t>
  </si>
  <si>
    <t>dofinansowanie gminy do zadań z subwencji i dotacji</t>
  </si>
  <si>
    <t>niepubliczny żłobek "Krokodylek" w Regułach</t>
  </si>
  <si>
    <t>Przedszkole niepubliczne "Dobre Przedszkole" w Komorowie</t>
  </si>
  <si>
    <t>Punk Przedszkolny Integracyjny "Słoneczna Kraina" w Nowej Wsi</t>
  </si>
  <si>
    <t>zasiłki szkolne - szkoły podstawowe</t>
  </si>
  <si>
    <t>Zakup usług przez jednostki samorządu terytorialnego od innych jednostek samorządu terytorialnego</t>
  </si>
  <si>
    <t xml:space="preserve">Odpisy na zakładowy fundusz świadczeń socjalnych        </t>
  </si>
  <si>
    <t>Szkoła Komorów - wydatki ponoszone zgodnie z przepisami ustawy o zakładowym funduszu świadczeń socjalnych i ustawy - Karta Nauczyciela</t>
  </si>
  <si>
    <t xml:space="preserve">Zakup materiałów i wyposażenia                     </t>
  </si>
  <si>
    <t>zakup pomocy dydaktycznych i książek</t>
  </si>
  <si>
    <t>dotacja przedszkolna</t>
  </si>
  <si>
    <t>prace remontowe budynku ( tapetowanie i malowanie sal dydaktycznych i korytarzy)</t>
  </si>
  <si>
    <t>Gimnazjum Komorów - wydatki z zakresu medycyny pracy obejmujące badania wstępne, okresowe i profilaktyczne pracowników</t>
  </si>
  <si>
    <t>Gimnazjum Michałowice - wydatki z zakresu medycyny pracy obejmujące badania wstępne, okresowe i profilaktyczne pracowników</t>
  </si>
  <si>
    <t>Rozdz.80104 par. 2310- Przedszkola niepubliczne - Razem</t>
  </si>
  <si>
    <t>Rozdz 80103 par. 2310- Oddziały przedszkolne w szkołach podstawowych - Razem</t>
  </si>
  <si>
    <t>Rozdz 80106 par. 2310 - Inne formy wychowania przedszkolnego - Razem</t>
  </si>
  <si>
    <t>Dotacje celowe otrzymane z gminy na zadania bieżące realizowane na podstawie porozumień (umów) między jednostkami samorządu terytorialnego</t>
  </si>
  <si>
    <t>Szkoła Komorów - wydatki ponoszone zgodnie z przepisami ustawy  Karta Nauczyciela</t>
  </si>
  <si>
    <t xml:space="preserve">Hala sportowa i teren szkoły - uszczelnienie i naprawa okien , montaż kratek na zewnątrz hali z połączeniem do kanalizacji deszczowej,  naprawa uszkodzonej wyprawy tynkarskiej na elewacjii budynku. </t>
  </si>
  <si>
    <t>% wzrostu/spadku</t>
  </si>
  <si>
    <t>Przedszkole Nowa Wieś  - szkolenia pracowników administracji</t>
  </si>
  <si>
    <t>Szkoła Michałowice - zakup pomocy naukowych, dydaktycznych i książek</t>
  </si>
  <si>
    <t>Stypendia i zasiłki dla studentów</t>
  </si>
  <si>
    <t>opłaty za kształcenie pobierane przez szkoły wyższe i zakłady kształcenia nauczycieli - szkoła podstawowa</t>
  </si>
  <si>
    <t xml:space="preserve">Przedszkole Niepubliczne "Zielone Przedszkole"Komorów-Granica </t>
  </si>
  <si>
    <t>opłaty za kształcenie pobierane przez szkoły wyższe i zakłady kształcenia nauczycieli - LO</t>
  </si>
  <si>
    <t>opłaty za kształcenie pobierane przez szkoły wyższe i zakłady kształcenia nauczycieli - gimnazjum</t>
  </si>
  <si>
    <t>Odpisy na zakładowy fundusz świadczeń socjalnych - wydatki ponoszone zgodnie z przepisami ustawy  Karta Nauczyciela</t>
  </si>
  <si>
    <t xml:space="preserve">wydatki ponoszone zgodnie z przepisami ustawy o zakładowym funduszu świadczeń socjalnych </t>
  </si>
  <si>
    <t>Świetlica szkolna Michałowice wydatki ponoszone zgodnie z ustawą o dodatkowym wynagrodzeniu rocznym dla pracowników jednostek sfery budżetowej</t>
  </si>
  <si>
    <t xml:space="preserve">Świetlica szkolna Komorów - zakup pomocy naukowych, dydaktycznych i książek </t>
  </si>
  <si>
    <t>Świetlica szkolna Komorów  wydatki ponoszone zgodnie z ustawą o dodatkowym wynagrodzeniu rocznym dla pracowników jednostek sfery budżetowej</t>
  </si>
  <si>
    <t>Szkoła Nowa Wieś - wydatki ponoszone zgodnie z ustawą o dodatkowym wynagrodzeniu rocznym dla pracowników jednostek sfery budżetowej</t>
  </si>
  <si>
    <t xml:space="preserve">   </t>
  </si>
  <si>
    <t xml:space="preserve">     </t>
  </si>
  <si>
    <t xml:space="preserve">Wydatki osobowe nie zaliczone do wynagrodzeń  </t>
  </si>
  <si>
    <t xml:space="preserve">Wynagrodzenia osobowe pracowników                       </t>
  </si>
  <si>
    <t xml:space="preserve">Dodatkowe wynagrodzenie roczne                          </t>
  </si>
  <si>
    <t xml:space="preserve">usł.konserwacyjne, naprawcze maszyn, śr.transportu, urządzeń sprzętu </t>
  </si>
  <si>
    <t>podróże służbowe krajowe</t>
  </si>
  <si>
    <t>odprawa emerytalna 12 000zł</t>
  </si>
  <si>
    <t>Szkoła Komorów  - opłaty za przesyłki pocztowe</t>
  </si>
  <si>
    <t xml:space="preserve">wydatki na podróże służbowe krajowe </t>
  </si>
  <si>
    <t>ubezpieczenie rzeczowe</t>
  </si>
  <si>
    <t xml:space="preserve"> ubezpieczenie rzeczowe i opłaty za ubezpieczenie samochodu </t>
  </si>
  <si>
    <t xml:space="preserve">Nagrody i wydatki osobowe niezaliczone do wynagrodzeń  </t>
  </si>
  <si>
    <t xml:space="preserve">W projekcie planu finansowego dla Gimnazjum wydatki płacowe zaplanowano:  1 awans na nauczyciela dyplomowanego ( w 2009r - 3 dyplom, 1 mianowany). Planowane są wypłaty nagród jubileuszowych dla 8 nauczycieli i 1 osoby obsługi (w 2009r.- dla 2 nauczycieli i 2 osoby obsługi) oraz zaplanowano 1 odprawę emerytalne dla nauczyciela (w 2009r - nie wypłacono). </t>
  </si>
  <si>
    <t xml:space="preserve">Wydatki osobowe niezaliczone do wynagrodzeń  </t>
  </si>
  <si>
    <t xml:space="preserve">Podróże służbowe zagraniczne                                </t>
  </si>
  <si>
    <t xml:space="preserve">wydatki na podróże służbowe zagraniczne pracowników własnych                          </t>
  </si>
  <si>
    <t xml:space="preserve">Gimnazjum Komorów - usł.konserwacyjne, naprawcze maszyn, śr.transportu, urządzeń sprzętu </t>
  </si>
  <si>
    <t>Gimnazjum Michałowice - usł.konserwacyjne, naprawcze maszyn, śr.transportu, urządzeń sprzętu</t>
  </si>
  <si>
    <t>Przedszkole Nowa Wieś - wydatki z zakresu medycyny pracy obejmujące badania wstępne, okresowe i profilaktyczne pracowników</t>
  </si>
  <si>
    <t>stypendia za osiagnięcia naukowe i sportowe-szkoła podstawowa</t>
  </si>
  <si>
    <t>stypendia za osiagnięcia naukowe i sportowe-liceum ogólnokształcące</t>
  </si>
  <si>
    <t>Treść</t>
  </si>
  <si>
    <t>§</t>
  </si>
  <si>
    <t>Rezerwa oświatowa 143 400 zł, w tym:</t>
  </si>
  <si>
    <t>remontowe</t>
  </si>
  <si>
    <t>wydatki</t>
  </si>
  <si>
    <t xml:space="preserve">Świetlica szkolna Komorów - składki na Fundusz Pracy                         </t>
  </si>
  <si>
    <t>Przedszkole Michałowice usł.konserwacyjne, naprawcze maszyn, śr.transportu, urządzeń, sprzętu</t>
  </si>
  <si>
    <t>Zakup usług zdrowotnych - wydatki z zakresu medycyny pracy obejmujące badania wstępne, okresowe i profilaktyczne pracowników</t>
  </si>
  <si>
    <t>81010 Gimnazja : Razem</t>
  </si>
  <si>
    <t>80104 Przedszkola ( publiczne) : Razem</t>
  </si>
  <si>
    <t>Szkoła Nowa Wieś - opłaty za dostawę energii elektrycznej, gazu i wody</t>
  </si>
  <si>
    <t>ubezpieczenia rzeczowe</t>
  </si>
  <si>
    <t>Gimnazjum Komorów -szkolenie pracowników administracji</t>
  </si>
  <si>
    <t xml:space="preserve">Przedszkole Nowa Wieś - wydatki na podróże służbowe krajowe </t>
  </si>
  <si>
    <t>podręczniki szkolne -dotacja</t>
  </si>
  <si>
    <t>Dotacja celowa z budżetu na finansowanie lub dofinans.zadań zleconych do realizacji pozostałym jedn.niezalicz.do sektora finansów publicznych</t>
  </si>
  <si>
    <t>stypendia socjalne rzeczowe -dotacja</t>
  </si>
  <si>
    <t xml:space="preserve">% wzrostu/spadku po zmianach </t>
  </si>
  <si>
    <t xml:space="preserve">W projekcie planu wydatków na remonty uwzględnione zostały następujące potrzeby: wymiana rury głównego pionu od zimnej wody oraz centralnego orzewania w starym budynku , remont 6 łazienek na parterze i pietrze oraz wymiana rur i glazury , malowanie korytarza i klatek schodowych w głównym budynku szkoły, cyklinowanie podłóg i malowanie w 7 klasach w głównym budynku SP, wymiana drzwi frontowych w wejściu do sali gimnastycznej, instalacja układu kominowego. </t>
  </si>
  <si>
    <t>Szkoła Nowa Wies zakup kosiarki-traktorka</t>
  </si>
  <si>
    <t xml:space="preserve">Rezerwa oświatowa w związku z planowaną rozbudową szkoły na ogólną kwotę 397 000, w tym: </t>
  </si>
  <si>
    <t xml:space="preserve">1) planowana rozbudowa szkoły w Komorowie na ogólną kwotę 397 000, w tym:     
zakup mebli i wyposażenia sal lekcyjnych, meble do szatni, ławeczki na korytarz i tablice korkowe na kwotę 282 000zł,    
zabezpieczenie środków na media oraz zatrudnienie pracowników obsługi na kwotę 115 000zł    
w związku z planowaną rozbudową szkoły w Komorowie na ogólną kwotę 397 000, w tym: </t>
  </si>
  <si>
    <t>Rezerwa oświatowa na ogólną kwotę 409 000 zł, z tego:</t>
  </si>
  <si>
    <t xml:space="preserve">2) planowana odprawa emerytalna dla pracownika Gminnego Przedszkola w Michałowicach na kwotę 12 000 zł </t>
  </si>
  <si>
    <t xml:space="preserve">Opłaty z tytułu zakupu usług telekomunikacyjnych </t>
  </si>
  <si>
    <t>opłaty za telefony i internet</t>
  </si>
  <si>
    <t xml:space="preserve">Szkoła Komorów - opłaty za telefony i internet                     </t>
  </si>
  <si>
    <t>Szkoła Michałowice - opłaty za telefony i internet</t>
  </si>
  <si>
    <t>Szkoła Nowa Wieś - opłaty za telefony i internet</t>
  </si>
  <si>
    <t>Przedszkole Michałowice - opłaty za telefon i internet</t>
  </si>
  <si>
    <t>Przedszkole Nowa Wieś - opłaty za telefon</t>
  </si>
  <si>
    <t>Refundacja kosztów w publicznych oddziałach przedszkolnych</t>
  </si>
  <si>
    <t>opłata za telefon</t>
  </si>
  <si>
    <t>usługi konserwacyjne, naprawcze maszyn, urządzeń, sprzętu</t>
  </si>
  <si>
    <t>Szkoła Komorów - szkolenia pracowników administracji</t>
  </si>
  <si>
    <t>Szkoła Michałowice - szkolenia pracowników administracji</t>
  </si>
  <si>
    <t>Szkoła Nowa Wieś - szkolenia pracowników administracji</t>
  </si>
  <si>
    <t>803 Szkolnictwo wyższe- Razem</t>
  </si>
  <si>
    <t>Gimnazjum Michałowice -  ubezpieczenia rzeczowe</t>
  </si>
  <si>
    <t>Rozdz</t>
  </si>
  <si>
    <t xml:space="preserve">wydatki na podróże  służbowe  krajowe, zwrot kosztów za używanie przez pracowników własnych pojazdów do celów służbowych w granicach administracyjnych gminy                        </t>
  </si>
  <si>
    <t>Gimnazjum Komorów - wydatki na podróże służbowe krajowe</t>
  </si>
  <si>
    <t>Wydatki ponoszone zgodnie z przepisami ustawy o zakładowym funduszu świadczeń socjalnych i ustawy</t>
  </si>
  <si>
    <t>Wydatki z zakresu medycyny pracy obejmujące badania wstępne, okresowe i profilaktyczne pracowników</t>
  </si>
  <si>
    <t>Zakup usług  zdrowotnych</t>
  </si>
  <si>
    <t xml:space="preserve">Szkoła Nowa Wieś - wydatki na podróże służbowe krajowe </t>
  </si>
  <si>
    <t xml:space="preserve">Różne opłaty i składki                                  </t>
  </si>
  <si>
    <t xml:space="preserve">Wydatki na zakupy inwestycyjne jednostek budżetowych    </t>
  </si>
  <si>
    <t>Dotacja podmiot.z budżetu dla niepublicznej jednostki systemu oświaty</t>
  </si>
  <si>
    <t xml:space="preserve">Przedszkole Niepubliczne Zgromadzenia Sióstr Misjonarek Świętej Rodziny w Komorowie                </t>
  </si>
  <si>
    <t xml:space="preserve">Przedszkole Niepubliczne Sióstr Służebniczek NMP w Komorowie            </t>
  </si>
  <si>
    <t>Przedszkole Nowa Wieś - opłaty za dostawę energii elektrycznej, gazu i wody</t>
  </si>
  <si>
    <t>Rezerwa oświatowa na odprawę emerytalną 12 000zł</t>
  </si>
  <si>
    <t>Szkoła Michałowice - wydatki ponoszone zgodnie z przepisami ustawy  Karta Nauczyciela</t>
  </si>
  <si>
    <t>Gimnazjum Komorów - wydatki ponoszone zgodnie z ustawą o dodatkowym wynagrodzeniu rocznym dla pracowników jednostek sfery budżetowej</t>
  </si>
  <si>
    <t>Szkoła Nowa Wieś - wydatki ponoszone zgodnie z przepisami ustawy  Karta Nauczyciela</t>
  </si>
  <si>
    <t xml:space="preserve">Proszę o część opisową do projektu planu wydatków i podział planu dokształcania i doskonalenia zawodowego nauczycieli oraz </t>
  </si>
  <si>
    <t>Przedszkole niepubliczne "Krokodylek" w Regułach</t>
  </si>
  <si>
    <t>Dzieci uczęszczające do naszych punktów przedszkolnych z innych gmin</t>
  </si>
  <si>
    <t>80104- Razem</t>
  </si>
  <si>
    <t>80106- Razem</t>
  </si>
  <si>
    <t>Świetlica szkolna Nowa Wieś - zakup środków czystości, materiałów biurowych,  pismiennych,  papiernicze, akcesoria i programy komputerowe, wyposażenia i inne</t>
  </si>
  <si>
    <t xml:space="preserve">Gimnazjum Komorów - składki na fundusz pracy </t>
  </si>
  <si>
    <t xml:space="preserve">Gimnazjum Michałowice - składki na fundusz pracy </t>
  </si>
  <si>
    <t xml:space="preserve">Gimnazjum Nowa Wieś - składki na fundusz pracy </t>
  </si>
  <si>
    <t>Inne formy pomocy dla uczniów</t>
  </si>
  <si>
    <t>Rozdział 80106 - Inne formy wychowania przedszkolnego - Razem</t>
  </si>
  <si>
    <t xml:space="preserve">Przedszkole Michałowice </t>
  </si>
  <si>
    <t>Szkoła Komorów - wydatki z zakresu medycyny pracy obejmujące badania wstępne, okresowe i profilaktyczne pracowników</t>
  </si>
  <si>
    <t xml:space="preserve">854 Edukacyjna opieka wychowawcza - Razem                          </t>
  </si>
  <si>
    <t>niepubliczny żłobek "Sasanka" w Nowej Wsi</t>
  </si>
  <si>
    <t>niepubliczny klub katolicki "Baśniowa Kraina" w Opaczy</t>
  </si>
  <si>
    <t>Milanówek</t>
  </si>
  <si>
    <t xml:space="preserve">umowy zlecenia: prowadzenie zajęć dodatkowych w czasie ferii i wakacji, zajeć rekreacyjno-sportowych i inne prace zlecone  </t>
  </si>
  <si>
    <t>Planowana liczba oddziałów 6. Zapisanych 154 dzieci do przedszkola w roku szkolnym 2012/2013</t>
  </si>
  <si>
    <t>Stypendia dla uczniów</t>
  </si>
  <si>
    <t xml:space="preserve">Zakup energii                                           </t>
  </si>
  <si>
    <t>Szkoła Komorów - opłaty za dostawę energii elektrycznej, gazu i wody</t>
  </si>
  <si>
    <t>Szkoła Michałowice - opłaty za dostawę energii elektrycznej, gazu i wody</t>
  </si>
  <si>
    <t xml:space="preserve">Składki na ubezpieczenia społeczne                      </t>
  </si>
  <si>
    <t>Szkoła Komorów - składki na ubezpieczenia społeczne</t>
  </si>
  <si>
    <t>Szkoła Michałowice - składki na ubezpieczenia społeczne</t>
  </si>
  <si>
    <t>zabezpieczenie środków na media oraz zatrudnienie pracowników obsługi na kwotę 115 000zł</t>
  </si>
  <si>
    <t xml:space="preserve"> nagrody jubileuszowe (2)</t>
  </si>
  <si>
    <t>Przedszkole Michałowice - wydatki ponoszone zgodnie z przepisami ustawy o zakładowym funduszu świadczeń socjalnych i ustawy - Karta Nauczyciela</t>
  </si>
  <si>
    <t>Nagrody konkursowe</t>
  </si>
  <si>
    <t>Szkoła Komorów - zakup nagród dla uczniów</t>
  </si>
  <si>
    <t>Szkoła Michałowice - zakup nagród dla uczniów</t>
  </si>
  <si>
    <t>Szkoła Nowa Wieś - zakup nagród dla uczniów</t>
  </si>
  <si>
    <t>zakup nagród dla uczniów</t>
  </si>
  <si>
    <t xml:space="preserve">Opłaty z tytułu zakupu usług telekomunikacyjnych                                 </t>
  </si>
  <si>
    <t>Przedszkole Nowa Wieś - wydatki ponoszone zgodnie z przepisami ustawy o zakładowym funduszu świadczeń socjalnych i ustawy - Karta Nauczyciela</t>
  </si>
  <si>
    <t>zakup mebli i wyposażenia sal lekcyjnych, meble do szatni, ławeczki na korytarz i tablice korkowe na kwotę 282 000zł,</t>
  </si>
  <si>
    <t xml:space="preserve">                                                                                                                                                                </t>
  </si>
  <si>
    <t>Opłaty z tytułu zakupu usługi telekomunikacyjnych</t>
  </si>
  <si>
    <t>80149 Realizacja zadń wymagających stosowania specjalnej organizacji nauki i metod pracy dla dzieci w przedszkolach, oddziałach przedszkolnych w szkołach podstawowych i innych formach wychowania przedszkolnego : Razem</t>
  </si>
  <si>
    <t>Świetlica szkolna Michałowice składki na ubezpieczenia społeczne</t>
  </si>
  <si>
    <t>usługi konserw.naprawcze maszyn, śr. transp,urządzeń i sprzętu</t>
  </si>
  <si>
    <t>opłaty za telefon i internet</t>
  </si>
  <si>
    <t>Gimnazjum Komorów - zakup nagród dla uczniów</t>
  </si>
  <si>
    <t>Gimnazjum Michałowice - zakup nagród dla uczniów</t>
  </si>
  <si>
    <t>Gimnazjum Nowa Wieś - zakup nagród dla uczniów</t>
  </si>
  <si>
    <t xml:space="preserve">Zakup materiałów i wyposażenia - dotacja </t>
  </si>
  <si>
    <t>zasiłki szkolne -gimnazja i ponadgimnazjalne</t>
  </si>
  <si>
    <t>stypendia za osiagnięcia naukowe i sportowe-szkoły podstawowe</t>
  </si>
  <si>
    <t>stypendia za osiagnięcia naukowe i sportowe-gimnazja</t>
  </si>
  <si>
    <t xml:space="preserve">plan </t>
  </si>
  <si>
    <t>85415 Pomoc materialna dla uczniów o charakterze socjalnym : Razem</t>
  </si>
  <si>
    <t>85416 Pomoc materialna dla uczniów o charakterze motywacyjnym : Razem</t>
  </si>
  <si>
    <t>Nagrody o charakterze szczególnym niezaliczone do wynagrodzeń</t>
  </si>
  <si>
    <t>nagrody wójta za osiągnięcia naukowe i sportowe- szkoła podstawowa</t>
  </si>
  <si>
    <t>nagrody wójta za osiągnięcia naukowe i sportowe- gimnazjum</t>
  </si>
  <si>
    <t>nagrody wójta za wyniki w nauce i osiągnięcia sportowe- szkoły podstawowe</t>
  </si>
  <si>
    <t>nagrody wójta za wyniki w nauce i osiągnięcia sportowe- gimnazja</t>
  </si>
  <si>
    <t>85412 Kolonie i obozy oraz inne formy wypoczynku dzieci i młodzieży szkolnej, a także szkolenia młodzieży: Razem</t>
  </si>
  <si>
    <t>75085 Wspólna obsługa jednostek samorządu terytorialnego : Razem</t>
  </si>
  <si>
    <t>zakup materiałów i wyposażenia - przedszkola gminne</t>
  </si>
  <si>
    <t>wynagrodzenia osobowe pracowników- przedszkola gminne</t>
  </si>
  <si>
    <t xml:space="preserve">składki na ubezpieczenia społeczne- przedszkola gminne                     </t>
  </si>
  <si>
    <t>zakup pomocy naukowch , dydaktycznych i książek - przedszkola gminne</t>
  </si>
  <si>
    <t>usługi związane z niepełnosprawnością - przedszkola gminne</t>
  </si>
  <si>
    <t>85505 Tworzenie i funkcjonowanie żłobków: Razem</t>
  </si>
  <si>
    <t>85506 Tworzenie i funkcjonowanie klubów dziecięcych: Razem</t>
  </si>
  <si>
    <t>855 Rodzina- Razem</t>
  </si>
  <si>
    <t>85506 Kluby dziecięce: Razem</t>
  </si>
  <si>
    <t xml:space="preserve">Zakup środków żywności    </t>
  </si>
  <si>
    <t>zakup produktów żywnościowych</t>
  </si>
  <si>
    <t>Szkoła Komorów zakup produktów żywnościowych</t>
  </si>
  <si>
    <t>Szkoła Michałowice zakup produktów żywnościowych</t>
  </si>
  <si>
    <t>Szkoła Nowa Wieś zakup produktów żywnościowych</t>
  </si>
  <si>
    <t>Szkoła Komorów - nagrody konkursowe</t>
  </si>
  <si>
    <t>Szkoła Michałowice - nagrody konkursowe</t>
  </si>
  <si>
    <t>zakup nagród związanych z konkursami</t>
  </si>
  <si>
    <t>zlecenia związane z wymianą zagraniczną młodzieży Gimn</t>
  </si>
  <si>
    <t>zakupy związane z wymianą zagraniczną młodzieży Gimn</t>
  </si>
  <si>
    <t>usługi związane z wymianą zagraniczną młodzieży Gimn</t>
  </si>
  <si>
    <t>wyprawka szkolna SP -dotacja</t>
  </si>
  <si>
    <t>wyprawka szkolna Gimn -dotacja</t>
  </si>
  <si>
    <t>Wynagrodzenie osobowe pracowników Gimn - subwencja oświatowa</t>
  </si>
  <si>
    <t>Składki na ubezpieczenia społeczne Gimn - subwencja oświatowa</t>
  </si>
  <si>
    <t>Składki na fundusz pracy Gimn - subwencja oświatowa</t>
  </si>
  <si>
    <t>Zakup materiałów i wyposażenia SP - subwencja oświatowa</t>
  </si>
  <si>
    <t xml:space="preserve">Przedszkole Niepubliczne Zgromadzenia Sióstr Misjonarek Świętej Rodziny w Komorowie- dotacja                </t>
  </si>
  <si>
    <t xml:space="preserve">Przedszkole Niepubliczne Sióstr Służebniczek NMP w Komorowie - dotacja           </t>
  </si>
  <si>
    <t xml:space="preserve">Prywatne Przedszkole w Michałowicach - dotacja                       </t>
  </si>
  <si>
    <t xml:space="preserve">Przedszkole Niepubliczne "Zielone Przedszkole"Komorów-Granica - dotacja         </t>
  </si>
  <si>
    <t xml:space="preserve">Przedszkole niepubliczne "Gumisiowy Raj" w Regułach - dotacja         </t>
  </si>
  <si>
    <t xml:space="preserve">Przedszkole niepubliczne "Krokodylek" w Regułach - dotacja         </t>
  </si>
  <si>
    <t xml:space="preserve">Przedszkole niepubliczne "Dobre Przedszkole" w Komorowie - dotacja         </t>
  </si>
  <si>
    <t xml:space="preserve">Przedszkole niepubliczne "Prestige for Kids" w Komorowie - dotacja         </t>
  </si>
  <si>
    <t xml:space="preserve">Przedszkole niepubliczne "Bavi" w Pęcicach - dotacja         </t>
  </si>
  <si>
    <t xml:space="preserve">Przedszkole niepubliczne "Gumisiowy Raj" w Regułach        </t>
  </si>
  <si>
    <t>Punk Przedszkolny "Antoś" w Michałowicach - dotacja</t>
  </si>
  <si>
    <t>Punkt Przedszkolny "Smyki" w Komorowie - dotacja</t>
  </si>
  <si>
    <t>Punk Przedszkolny "Misie Patysie" w Nowej Wsi - dotacja</t>
  </si>
  <si>
    <t>Punk Przedszkolny Integracyjny "Słoneczna Kraina" w Nowej Wsi - dotacja</t>
  </si>
  <si>
    <t>Punk Przedszkolny "Słoneczna Kraina" w Komorowie - dotacja</t>
  </si>
  <si>
    <t>Punk Przedszkolny "Sasanka" w Nowej Wsi - dotacja</t>
  </si>
  <si>
    <t>Punk Przedszkolny "Adaś" w Michałowicach - dotacja</t>
  </si>
  <si>
    <t xml:space="preserve">Szkoła Komorow- dotacja podręcznikowa </t>
  </si>
  <si>
    <t>Szkoła Michałowice - dotacja podręcznikowa</t>
  </si>
  <si>
    <t>Szkoła Nowa Wieś - dotacja podręcznikowa</t>
  </si>
  <si>
    <t xml:space="preserve">zakup środków żywności    </t>
  </si>
  <si>
    <t>Dotacja podmiotowa z budżetu dla niepublicznej jednostki systemu oświaty</t>
  </si>
  <si>
    <t>85404 Wczesne wspomaganie rozwoju dziecka : Razem</t>
  </si>
  <si>
    <t>Punkt przedszkolny Słoneczna Kraina w Komorowie</t>
  </si>
  <si>
    <t>stypendia socjalne- dotacja</t>
  </si>
  <si>
    <t xml:space="preserve">Przedszkole niepubliczne "Baśniolandia" w Nowej Wsi - dotacja         </t>
  </si>
  <si>
    <t xml:space="preserve">wynagrodzenia osobowe pracowników- dotacja </t>
  </si>
  <si>
    <t xml:space="preserve">Przedszkole Michałowice- zakup środków żywności    </t>
  </si>
  <si>
    <t xml:space="preserve">Przedszkole Nowa Wieś- zakup środków żywności    </t>
  </si>
  <si>
    <t>stypendia socjalne -uczniowie ze szkół poza gminą</t>
  </si>
  <si>
    <t>zasiłki szkolne -uczniowie ze szkół poza gminą</t>
  </si>
  <si>
    <t xml:space="preserve"> pomoc zdrowotna dla nauczycieli, odzież ochronna</t>
  </si>
  <si>
    <t>wynagrodzenia osobowe pracowników- oddziały przedszkolne</t>
  </si>
  <si>
    <t xml:space="preserve">składki na ubezpieczenia społeczne- oddziały przedszkolne                 </t>
  </si>
  <si>
    <t>Zakup pomocy dydaktycznych SP - subwencja oświatowa</t>
  </si>
  <si>
    <t xml:space="preserve">zakup pomocy dydaktycznych i książek </t>
  </si>
  <si>
    <t>prace remontowe budynku szkolnego (izolacja części fundamentów w budynku (10000zł)</t>
  </si>
  <si>
    <t>prace remontowe budynku szkolnego-  (remont sześciu sal lekcyjnych na II piętrze i remont łazienki nauczycielskiej (180 000zł), wykonanie izolacji części fundamenów (10 000zł)</t>
  </si>
  <si>
    <t>prace remontowe budynków szkolnych - (wykonanie izolacji częsci fundamentów (13 000zł), remont sześciu łazienek uczniowskich (130 000zł), obudowa rur na korytarzu (6 000zł)</t>
  </si>
  <si>
    <t xml:space="preserve">Szkoła Nowa Wieś - zakup pomocy naukowych, dydaktycznych i książek </t>
  </si>
  <si>
    <t>Gimnazjum Komorów prace remontowe budynku szkolnego-  (remont sześciu sal lekcyjnych na II piętrze i remont łazienki nauczycielskiej (180 000zł), wykonanie izolacji części fundamenów (10 000zł)</t>
  </si>
  <si>
    <t xml:space="preserve"> zakup  wyposażenia i inne</t>
  </si>
  <si>
    <t xml:space="preserve">Gimnazjum Michałowice -prace remontowe budynków szkolnych ( wymiana parapetów okiennych w holu, malowanie i uzupełnieanie ubytków w ścianie (25 000zł), remont hali sportowej- wymiana drzwi, okien, grzejników (60 000zł), remont schodów na boisko zewnętrzne (15 000zł) </t>
  </si>
  <si>
    <t>umowy zlecenia prowadzenie zajęć dodatkowych w czasie ferii i wakacji oraz zajęć sportowych-koszykówka i inne prace zlecone</t>
  </si>
  <si>
    <t>usługi konserwacyjne, naprawcze urządzeń, sprzętu i samochodu służbowego</t>
  </si>
  <si>
    <t>Liczba dzieci statystycznych w przedszkolach publicznych pomniejszona o niepełnospr.</t>
  </si>
  <si>
    <t>Planowana dotacja dla przedszkoli niepublicznych na 1 dziecko ( w Gminie 75% wydatków bieżących w przedszkolach publicznych wraz z remontami) (w 2016r 674,61)</t>
  </si>
  <si>
    <t>Planowana dotacja na dziecko niepełnosprawne na 2017r. (w 2016r. wynosiła 1 816,48zł i autyzm 4 314,14)</t>
  </si>
  <si>
    <t>Liczba dzieci SIO</t>
  </si>
  <si>
    <t>Koszt utrzymania dziecka w przedszk publ.</t>
  </si>
  <si>
    <t>Koszt utrzymania dziecka w przedszk publ. z inwest</t>
  </si>
  <si>
    <t>Planowana dotacja dla przedszkoli niepublicznych (punkt przedszkolny) na 1 dziecko (w Gminie 40%  wydatków bieżących w przedszkolach publicznych wraz z remontami) (w 2016r 359,79)</t>
  </si>
  <si>
    <t>Punkt Przedszkolny inspirowany pedagogiką Waldorfską w Komorowie</t>
  </si>
  <si>
    <t xml:space="preserve">Punk przedszkolny terapeutyczny "Pierwsze kroki" w Regułach </t>
  </si>
  <si>
    <t xml:space="preserve">Punkt Przedszkolny inspirowany pedagogiką Waldorfską w Komorowie- dotacje </t>
  </si>
  <si>
    <t xml:space="preserve">Punk przedszkolny terapeutyczny "Pierwsze kroki" w Regułach - dotacje </t>
  </si>
  <si>
    <t>niepubliczny żłobek "Gumisiowy Raj" w Regułach</t>
  </si>
  <si>
    <t>Rozdz 80149 par. 2540 - Inne formy wychowania przedszkolnego - Razem</t>
  </si>
  <si>
    <t>niepełnospr M</t>
  </si>
  <si>
    <t>niepełnospr D</t>
  </si>
  <si>
    <t>Punkt przedszkolny integracyjny Słoneczna Kraina w Nowej Wsi</t>
  </si>
  <si>
    <t>Przewidywane wykonanie 2016</t>
  </si>
  <si>
    <t>Projekt 2017</t>
  </si>
  <si>
    <t>rzeczowe(zakupy, pomoce, dydaktyczne, usługi, media, energia, gaz, woda, szkolenia, dokształcanie, stypendia, zasiłki,umowy zlecenia)</t>
  </si>
  <si>
    <t>Szkoła Michałowice - wynagrodzenie osobowe pracowników, awanse nauczycielskie, nagrody specjalne DEN</t>
  </si>
  <si>
    <t>Szkoła Michałowice - zakup  wyposażenia i inne</t>
  </si>
  <si>
    <t>Szkoła Komorów - zakup wyposażenia i inne</t>
  </si>
  <si>
    <t>Gimnazjum Nowa Wieś - zakup pomocy naukowych, dydaktycznych i książek</t>
  </si>
  <si>
    <t xml:space="preserve">Gimnazjum Michałowice -prace remontowe budynków szkolnych ( wymiana parapetów okiennych w holu, malowanie i uzupełnianie ubytków w ścianie (25 000zł), remont hali sportowej- wymiana drzwi, okien, grzejników (60 000zł), remont schodów na boisko zewnętrzne (15 000zł) </t>
  </si>
  <si>
    <t xml:space="preserve">Świetlica szkolna Komorów - wynagrodzenie osobowe pracowników,  awanse nauczycielskie i nagrody specjalne DEN </t>
  </si>
  <si>
    <t xml:space="preserve">Gimnazjum  Nowa Wieś-  wynagrodzenia osobowe pracowników, awanse nauczycielskie, nagrody specjalne DEN, nauczanie indywidualne, obsługa związkowa ZNP  </t>
  </si>
  <si>
    <t xml:space="preserve">Gimnazjum  Michałowice - wynagrodzenia osobowe pracowników, awanse nauczycielskie, zasiłki na zagospodarowanie, nauczanie indywidualne, nagrody specjalne DEN, obsługa związkowa ZNP  </t>
  </si>
  <si>
    <t>Projekt planu z inwestycjami na 2017r</t>
  </si>
  <si>
    <t>Koszt CUW przypadający na 3 pracowników niezwiązanych z przedszkolami</t>
  </si>
  <si>
    <t>budżet ZOEAS pomniejszony o 3 etaty niezwiązane z obsługą przedszkoli publicznych</t>
  </si>
  <si>
    <t>Oddziały przedszkolne  w Warszawie</t>
  </si>
  <si>
    <t>Oddziały przedszkolne w Podkowie Leśnej</t>
  </si>
  <si>
    <t>Oddziały przedszkolne w Warszawie</t>
  </si>
  <si>
    <t xml:space="preserve">Przedszkole Niepubliczne "Zielone Przedszkole" w Komorowie-Granicy </t>
  </si>
  <si>
    <t xml:space="preserve">Przedszkola niepubliczne w Warszawie           </t>
  </si>
  <si>
    <t>Przedszkola niepubliczne w  Pruszkowie</t>
  </si>
  <si>
    <t>Przedszkola niepubliczne w Piastowie</t>
  </si>
  <si>
    <t>Przedszkola niepubliczne w Nadarzynie</t>
  </si>
  <si>
    <t>Przedszkola niepubliczne w Brwinowie</t>
  </si>
  <si>
    <t xml:space="preserve">Przedszkola niepubliczne w  Raszynie          </t>
  </si>
  <si>
    <t>Przedszkola niepubliczne w Milanówku</t>
  </si>
  <si>
    <t>Przedszkola niepubliczne w Grodzisku Mazowieckim</t>
  </si>
  <si>
    <t>Przedszkola niepubliczne w Ożarowie Mazowieckim</t>
  </si>
  <si>
    <t xml:space="preserve">Punkty przedszkolne w Pruszkowie     </t>
  </si>
  <si>
    <t>Punkty przedszkolne w Brwinowie</t>
  </si>
  <si>
    <t>Punkty przedszkolne w Piastowie</t>
  </si>
  <si>
    <t>Punkty przedszkolne w Warszawie</t>
  </si>
  <si>
    <t>Punkty przedszkolne w Raszynie</t>
  </si>
  <si>
    <t xml:space="preserve">Dotacja na dziecko niepełnosprawne na 2017r. </t>
  </si>
  <si>
    <t>Wczesne wspomaganie</t>
  </si>
  <si>
    <t xml:space="preserve">Planowana dotacja dla przedszkoli niepublicznych (punkt przedszkolny) na 1 dziecko (w Gminie 40%  wydatków bieżących w przedszkolach publicznych) </t>
  </si>
  <si>
    <t xml:space="preserve">Planowana dotacja dla przedszkoli niepublicznych na 1 dziecko ( w Gminie 75% wydatków bieżących w przedszkolach publicznych) </t>
  </si>
  <si>
    <t>Przedszkola niepubliczne w Piasecznie</t>
  </si>
  <si>
    <t>Punk Przedszkolny Pierwsze Kroki w Regułach</t>
  </si>
  <si>
    <t>zakup książek do biblioteki- dotacja</t>
  </si>
  <si>
    <t>zakup książek do biblioteki -dotacja</t>
  </si>
  <si>
    <t>Zakup pomocy dydaktycznych SP- dotacja podręcznikowa</t>
  </si>
  <si>
    <t>Zakup pomocy dydaktycznych Gimn- dotacja podręcznikowa</t>
  </si>
  <si>
    <t>zakup podręczników szkolnych -dotacja</t>
  </si>
  <si>
    <t>odzież ochronna</t>
  </si>
  <si>
    <t>zakup obieraczki do ziemniaków z płuczką nierdzewną</t>
  </si>
  <si>
    <t>Przedszkole Michałowice- zakup obieraczki do ziemniaków z płuczką nierdzewną</t>
  </si>
  <si>
    <t>Zakup środków żywności i wody</t>
  </si>
  <si>
    <t xml:space="preserve">podróże służbowe krajowe                              </t>
  </si>
  <si>
    <t>Zakup środków żywności</t>
  </si>
  <si>
    <t>prace remontowe w budynku przedszkolnym  (wykonanie i wymiana pokryw zabezpieczających piaskownice 5 000zł, wymiana ogrodzenia przy placu zabaw 5 000zł, malowanie Sali 2 000zł, wymiana okien 6 000zł, wymiana lufcików w oknach 1 200zł)</t>
  </si>
  <si>
    <t>zakup zmywarki do naczyń</t>
  </si>
  <si>
    <t xml:space="preserve">składki na Fundusz Pracy- przedszkolna gminne                         </t>
  </si>
  <si>
    <t xml:space="preserve">składki na Fundusz Pracy- oddziały przedszkolne                        </t>
  </si>
  <si>
    <t>Przedszkole Nowa Wieś - zakup zmywarki do naczyń</t>
  </si>
  <si>
    <t>Zakup środków żywności - woda dla dzieci</t>
  </si>
  <si>
    <t>Przedszkole Nowa Wieś -prace remontowe w budynku przedszkolnym  (wykonanie i wymiana pokryw zabezpieczających piaskownice 5 000zł, wymiana ogrodzenia przy placu zabaw 5 000zł, malowanie Sali 2 000zł, wymiana okien 6 000zł, wymiana lufcików w oknach 1 200zł)</t>
  </si>
  <si>
    <t>dodatki wiejski i mieszkaniowy dla nauczycieli, pomoc zdrowotna dla nauczycieli</t>
  </si>
  <si>
    <t>odzież ochronna, napoje dla pracowników</t>
  </si>
  <si>
    <t>umowy zlecenia: prowadzenie klubu szachowego Hetman, prowadzenie zajęć dodatkowych w czasie ferii i wakacji, prowadzenie zajęć łyżwiarskich i inne prace zlecone</t>
  </si>
  <si>
    <t>Szkoła Michałowice -umowy zlecenia: prowadzenie klubu szachowego Hetman ,  prowadzenie zajęć dodatkowych w czasie ferii i wakacji,  prowadzenie zajęć łyżwiarskich  i inne prace zlecone</t>
  </si>
  <si>
    <t>Świetlica szkolna Michałowice - zakup wody dla dzieci</t>
  </si>
  <si>
    <t xml:space="preserve"> odzież ochronna</t>
  </si>
  <si>
    <t>prace remontowe budynków szkolnych (renowacja podłogi drewnianej w klasach i na korytarzu 32 000zł, remont przebieralni, na hali wymiana kratek wentylacyjnych, stelaże wc do zabudowy, glazura w natryskach 15 000zł, remont łazienki na I i II piętrze 15 000zł, wymiana drzwi w klasach 20 szt przeszklonych aluminiowych i 6 par drzwi łazienkowych 76 000zł)</t>
  </si>
  <si>
    <t>Szkoła Nowa Wieś- prace remontowe budynków szkolnych (renowacja podłogi drewnianej w klasach i na korytarzu 32 000zł, remont przebieralni, na hali wymiana kratek wentylacyjnych, stelaże wc do zabudowy, glazura w natryskach 15 000zł, remont łazienki na I i II piętrze 15 000zł, wymiana drzwi w klasach 20 szt przeszklonych aluminiowych i 6 par drzwi łazienkowych 76 000zł)</t>
  </si>
  <si>
    <t xml:space="preserve">zakup środków czystości, materiałów biurowych i piśmiennych, wyposażenia,  tonerów i tuszy do drukarek, akcesorii i programów komputerowych, środków do konserwacji i inne </t>
  </si>
  <si>
    <t>Zakup pomocy naukowych, dydaktycznych i książek (zakup komputerów, tablic interaktywnych)</t>
  </si>
  <si>
    <t>Zakup pomocy dydaktycznych do zajęć korekcyjno-kompemsacyjnych, logopedycznych, rewalidacyjnych</t>
  </si>
  <si>
    <t>budżet CUW pomniejszony o 3 etaty niezwiązane z obsługą przedszkoli publicznych</t>
  </si>
  <si>
    <t>Przedszkole niepubliczne "Sasanka" w Nowej Wsi</t>
  </si>
  <si>
    <t xml:space="preserve">Przedszkole niepubliczne "Sasanka" w Nowej Wsi - dotacja         </t>
  </si>
  <si>
    <t>410 dzieci w niepublicznych bez 6-latków</t>
  </si>
  <si>
    <t>71 dzieci Przedszkole N-wieś bez 6-latków</t>
  </si>
  <si>
    <t>152 dzieci przedszkole M-ce bez 6-latków</t>
  </si>
  <si>
    <t xml:space="preserve"> odzież ochronna, zakup okularów</t>
  </si>
  <si>
    <t>Dodatki wiejskie i mieszkaniowe dla nauczycieli  - subwencja oświatowa</t>
  </si>
  <si>
    <t>Wynagrodzenie osobowe pracowników  - subwencja oświatowa</t>
  </si>
  <si>
    <t>Składki na ubezpieczenia społeczne  - subwencja oświatowa</t>
  </si>
  <si>
    <t>Składki na fundusz pracy  - subwencja oświatowa</t>
  </si>
  <si>
    <t>zakup środków czystości, materiałów biurowych i piśmiennych,  druków,  wyposażenia (regały do biblioteki, szafki na książki), akcesorii i programów komputerowych,  tonerów i tuszy do drukarek, prenumeraty, śr.do konserwacji i napraw, materiałów medycznych i stomatologicznych, paliwa i inne</t>
  </si>
  <si>
    <t>nagroda jubileuszowa</t>
  </si>
  <si>
    <t xml:space="preserve">-wynagrodzenia osobowe pracowników, nagrody specjalne DEN </t>
  </si>
  <si>
    <t>Szkoła Nowa Wieś - nagroda jubileuszowa (2)</t>
  </si>
  <si>
    <t>Szkoła Komorow- nagroda jubileuszowa</t>
  </si>
  <si>
    <t>pranie dywanów</t>
  </si>
  <si>
    <t>Roboty remontowe SP</t>
  </si>
  <si>
    <t>Roboty remontowe w SP</t>
  </si>
  <si>
    <t>Roboty remontowe w przedszkolu</t>
  </si>
  <si>
    <t>Roboty remontowe w LO</t>
  </si>
  <si>
    <r>
      <t xml:space="preserve">Do rezerwy oświatowej zaplanowano- refundacja kosztów utrzymania dzieci w innych gminnych przedszkolach </t>
    </r>
    <r>
      <rPr>
        <b/>
        <sz val="10"/>
        <rFont val="Arial CE"/>
        <family val="1"/>
        <charset val="238"/>
      </rPr>
      <t>80 000zł</t>
    </r>
  </si>
  <si>
    <t>Projekt planu bez inwestycji na 2018</t>
  </si>
  <si>
    <t>zakup samochodu służbowego dla placówek oświatowych</t>
  </si>
  <si>
    <t xml:space="preserve">zakup środków czystości, materiałów biurowych i piśmiennych, wyposażenia (meble do sal lekcyjnych), druków,  tonerów i tuszy do drukarek, akcesorii i programów komputerowych, śr do konserwacji, paliwa i inne </t>
  </si>
  <si>
    <t xml:space="preserve">Gimnazjum Komorów- zakup środków czystości, materiałów biurowych i piśmiennych, wyposażenia (meble do sal lekcyjnych), druków,  tonerów i tuszy do drukarek, akcesorii i programów komputerowych, śr do konserwacji, paliwa i inne </t>
  </si>
  <si>
    <t>80150 Realizacja zadń wymagających stosowania specjalnej organizacji nauki i metod pracy dla dzieci i młodzieży w szkołach podstawowych: Razem</t>
  </si>
  <si>
    <t>80152 Realizacja zadań wymagających stosowania specjalnej organizacji nauki i metod pracy dla dzieci i młodzieży w  gimnazjach i klasach dotychczasowego gimnazjum prowadzonych w innych typach szkół, liceach ogólnokształcących, technikach, branżowych szkołach I stopnia i klasach dotychczasowej zasadniczej szkoły zawodowej prowadzonych w branżowych szkołach I stopnia oraz  szkołach artystycznych : Razem</t>
  </si>
  <si>
    <t>80150 Realizacja zadań wymagających stosowania specjalnej organizacji nauki i metod pracy dla dzieci i młodzieży w szkołach podstawowych: Razem</t>
  </si>
  <si>
    <t>Zakup usług sp - subwencja oświatowa</t>
  </si>
  <si>
    <r>
      <t xml:space="preserve">Do rezerwy budżetowej zaplanowane zostały 2 odprawy emerytalne w </t>
    </r>
    <r>
      <rPr>
        <b/>
        <sz val="10"/>
        <rFont val="Arial CE"/>
        <family val="1"/>
        <charset val="238"/>
      </rPr>
      <t xml:space="preserve">ZOEAS </t>
    </r>
    <r>
      <rPr>
        <sz val="10"/>
        <rFont val="Arial CE"/>
        <family val="1"/>
        <charset val="238"/>
      </rPr>
      <t>w łącznej kwocie 77 000zł</t>
    </r>
  </si>
  <si>
    <r>
      <t xml:space="preserve">ZOEAS- refundacja kosztów utrzymania dzieci w innych gminnych przedszkolach </t>
    </r>
    <r>
      <rPr>
        <b/>
        <sz val="10"/>
        <rFont val="Arial CE"/>
        <family val="1"/>
        <charset val="238"/>
      </rPr>
      <t>80 000zł</t>
    </r>
  </si>
  <si>
    <t>Dodatki wiejskie i mieszkaniowe dla nauczycieli Gimn  - subwencja oświatowa</t>
  </si>
  <si>
    <t>Dodatki wiejskie i mieszkaniowe dla nauczycieli LO  - subwencja oświatowa</t>
  </si>
  <si>
    <t>Dodatki wiejskie i mieszkaniowe dla nauczycieli  SP- subwencja oświatowa</t>
  </si>
  <si>
    <t xml:space="preserve">Zakup usług remontowych SP - subwencja oświatowa                             </t>
  </si>
  <si>
    <t>Zakup pomocy naukowych, dydaktycznych i książek  (art.plastyczne, zabawki, książki, przewodniki metodyczne)</t>
  </si>
  <si>
    <t>Przedszkole Michałowice- zakup pomocy naukowych, dydaktycznych i książek  (art.plastyczne, zabawki, książki, przewodniki metodyczne)</t>
  </si>
  <si>
    <t>-Przedszkole Nowa Wieś-wynagrodzenia osobowe pracowników, awanse nauczycielskie, nagrody specjalne DEN</t>
  </si>
  <si>
    <t>-Przedszkole Michałowice-wynagrodzenia osobowe pracowników, awanse nauczycielskie , urlopy dla poratowania zdrowia, nagrody specjalne DEN</t>
  </si>
  <si>
    <t xml:space="preserve">Szkoła Komorów - wynagrodzenie osobowe pracowników, awanse nauczycielskie, nagrody specjalne DEN </t>
  </si>
  <si>
    <t>Szkoła Nowa Wieś -  wynagrodzenie osobowe pracowników, awanse nauczycielskie, nagrody specjalne DEN</t>
  </si>
  <si>
    <t>80195 Pozostała działalność : Razem</t>
  </si>
  <si>
    <t>Punkt przedszkolny integracyjny "Słoneczna Kraina" w Nowej Wsi</t>
  </si>
  <si>
    <t>Punkt przedszkolny "Słoneczna Kraina" w Komorowie</t>
  </si>
  <si>
    <t>Szkoła Komorów - wydatki na podróże służbowe krajowe i zwrot kosztów za używanie przez pracowników własnych pojazdów do celów służbowych w granicach administracyjnych gminy</t>
  </si>
  <si>
    <t>Statystyczna liczba dzieci niepełnosprawnych wg wag ( 1 dziecko *1321,74*12)</t>
  </si>
  <si>
    <t xml:space="preserve">Planu dotacji po aktualizacji w kwietniu dla niepublicznych jednostek systemu oświaty i wychowania na 2018 rok </t>
  </si>
  <si>
    <t>Budżet CUW</t>
  </si>
  <si>
    <t>Projekt plan  wydatków na 2019r w CUW</t>
  </si>
  <si>
    <t>Przewidywane wykon. 2018r</t>
  </si>
  <si>
    <t>Projekt 2019r</t>
  </si>
  <si>
    <t>CUW- dotacja podręcznikowa</t>
  </si>
  <si>
    <t>Dotacja podręcznikowa- SP Komorów</t>
  </si>
  <si>
    <t>Dotacja podręcznikowa- Gimnazjum Komorów</t>
  </si>
  <si>
    <t>Dotacja podręcznikowa- SP Michałowice</t>
  </si>
  <si>
    <t>Dotacja podręcznikowa- Gimnazjum Michałowice</t>
  </si>
  <si>
    <t>Dotacja podręcznikowa- SP Nowa Wieś</t>
  </si>
  <si>
    <t>Dotacja podręcznikowa- Gimnazjum Nowa Wieś</t>
  </si>
  <si>
    <t>Dotacja podręcznikowa- refundacja Komorów</t>
  </si>
  <si>
    <t>Dotacja podręcznikowa- refundacja Michałowice</t>
  </si>
  <si>
    <t>Dotacja podręcznikowa- refundacja Nowa Wieś</t>
  </si>
  <si>
    <t>80153 Zapewnienie uczniom prawa do bezpłatnego dostępu do podręcznikó, materiałów edukacyjnych lub materiałów ćwiczeniowych : Razem</t>
  </si>
  <si>
    <t>Nauka języka ukraińskiego</t>
  </si>
  <si>
    <t>Przedszkola niepubliczne w Lesznowoli</t>
  </si>
  <si>
    <t>Przedszkola niepubliczne w Podkowie Leśnej</t>
  </si>
  <si>
    <t xml:space="preserve">Przedszkole Niepubliczne  Zielone Przedszkole w Granicy            </t>
  </si>
  <si>
    <t xml:space="preserve">Prywatne przedszkole w Michałowicach       </t>
  </si>
  <si>
    <t>szkolenia pracowników</t>
  </si>
  <si>
    <t>Zakup materiałów i wyposażenia- subwencja oświatowa</t>
  </si>
  <si>
    <t>dotacja podręcznikowa SP</t>
  </si>
  <si>
    <t>dotacja podręcznikowa Gimnazjum</t>
  </si>
  <si>
    <t>dotacja podręcznikowa refundacja za rok poprzedni</t>
  </si>
  <si>
    <t xml:space="preserve"> prace remontowe - remont komina</t>
  </si>
  <si>
    <t>Szkoła Michałowice prace remontowe (remont komina)</t>
  </si>
  <si>
    <t>Projekt planu wydatków  na 2019r w Szkole Postawowej w Michałowicach</t>
  </si>
  <si>
    <t>Projekt planu wydatków  na 2019r. w Zespole Szkolno-Przedszkolnym w Nowej Wsi</t>
  </si>
  <si>
    <t>szkolenie pracowników</t>
  </si>
  <si>
    <t>Projekt planu wydatków na 2019r w Gminnym Przedszkolu w Nowej Wsi</t>
  </si>
  <si>
    <t>Projekt planu wydatków  na 2019r. w Gminnym Przedszkolu w Michałowicach</t>
  </si>
  <si>
    <t>Projekt planu wydatków na 2019r w Zespole Szkół Ogólnokształcących w Komorowie</t>
  </si>
  <si>
    <t>składki na ubezp.społeczne-wymiana zagraniczna młodzieży</t>
  </si>
  <si>
    <t>składki na fundusz pracy-wymiana zagraniczna młodzieży</t>
  </si>
  <si>
    <t>umowy zlecenia - wymiana zagraniczna młodzieży</t>
  </si>
  <si>
    <t>WYDATKI OGÓŁEM</t>
  </si>
  <si>
    <t>Przewidywane wykonanie 2018</t>
  </si>
  <si>
    <t>Projekt 2019</t>
  </si>
  <si>
    <t>nagrody jubileuszowe 3</t>
  </si>
  <si>
    <t>-wynagrodzenia osobowe pracowników, awanse nauczycielskie, odprawa emerytalna, nagrody specjalne DEN</t>
  </si>
  <si>
    <t>80149 Realizacja zadań wymagających stosowania specjalnej organizacji nauki i metod pracy dla dzieci w przedszkolach, oddziałach przedszkolnych w szkołach podstawowych i innych formach wychowania przedszkolnego : Razem</t>
  </si>
  <si>
    <t>Planowana dotacja dla przedszkoli niepublicznych na 1 dziecko ( w Gminie 75% wydatków bieżących w przedszkolach publicznych) (w 2018r 734,86z)</t>
  </si>
  <si>
    <t>Planowana dotacja dla przedszkoli niepublicznych (punkt przedszkolny) na 1 dziecko (w Gminie 40%  wydatków bieżących w przedszkolach publicznych) (w 2018r 391,93zł)</t>
  </si>
  <si>
    <t>Planowana dotacja na dziecko niepełnosprawne na 2019r. (w 2018r. wynosiła 1 640,78, 1301,76 i autyzm 4 329,84)</t>
  </si>
  <si>
    <t>Wczesne wspomaganie 382,85zł</t>
  </si>
  <si>
    <t>niepełnosprawność autyzm/sprzężenie</t>
  </si>
  <si>
    <t>niepełnosprawność słuch</t>
  </si>
  <si>
    <t>niepełnosprawność lekka</t>
  </si>
  <si>
    <t xml:space="preserve">wczesne wspomaganie </t>
  </si>
  <si>
    <t>6 latki przedszkola</t>
  </si>
  <si>
    <t>6 latki punkty</t>
  </si>
  <si>
    <t>Planowana dotacja 100%</t>
  </si>
  <si>
    <t>niedostosowani społecznie</t>
  </si>
  <si>
    <t>nauka religii w pozaszkolnych punktach katechetycznych</t>
  </si>
  <si>
    <t>6-latek</t>
  </si>
  <si>
    <t xml:space="preserve">Przedszkole Niepubliczne Sióstr Służebniczek w Komorowie                </t>
  </si>
  <si>
    <t>Przedszkole Dobre Przedszkole w Komorowie</t>
  </si>
  <si>
    <t>Dotacja przedszkolna kwota x liczba dzieci z SIO</t>
  </si>
  <si>
    <t xml:space="preserve">Prywatne niepubliczne przedszkole w Michałowicach            </t>
  </si>
  <si>
    <t>Przedszkole NiepubliczneZielone Przedszkole w Komorowie</t>
  </si>
  <si>
    <t>Przedszkole Niepubliczne Zielone Przedszkole w Komorowie</t>
  </si>
  <si>
    <t>umowy zlecenia - awanse nauczycielskie (12 komisji egzaminacyjnych)</t>
  </si>
  <si>
    <t>umowy zlecenia</t>
  </si>
  <si>
    <t xml:space="preserve">zakup materiałów biurowych,  komputerów, tonerów, akcesorii i programów komputerowych, publikacji, paliwa i inne                    </t>
  </si>
  <si>
    <t>Nauka języka ukraińskiego przy szkole nr 221 w Warszawie</t>
  </si>
  <si>
    <t xml:space="preserve"> nagrody jubileuszowe (3)</t>
  </si>
  <si>
    <t xml:space="preserve"> nagrody jubileuszowe (7), odprawy emerytalne (7)</t>
  </si>
  <si>
    <t>nagrody jubileuszowe (3), 1 odprawa emerytalna</t>
  </si>
  <si>
    <t>zakup środków czystości, materiałów biurowych i piśmiennych, wyposażenia (meble do sal lekcyjnych), druków, tonerów i tuszy do drukarek, akcesorii i programów komputerowych, śr do konserwacji, paliwa i inne</t>
  </si>
  <si>
    <t>Zakup usłg SP - subwencja oświatowa</t>
  </si>
  <si>
    <t>szkolenia pracowników- subwencja oświatowa</t>
  </si>
  <si>
    <t>Zakup pomocy dydaktycznych LO- subwencja oświatowa</t>
  </si>
  <si>
    <t>szkolenie pracowników LO- subwencja oświatowa</t>
  </si>
  <si>
    <t xml:space="preserve"> nagrody jubileuszowe (15), odprawy emerytalne (2)</t>
  </si>
  <si>
    <t xml:space="preserve"> nagrody jubileuszowe (1), odprawy emerytalne (1)</t>
  </si>
  <si>
    <t xml:space="preserve">Projekt planu dotacji dla niepublicznych jednostek systemu oświaty i wychowania na 2019 rok </t>
  </si>
  <si>
    <t xml:space="preserve">PROJEKT PLANU WYDATKÓW BUDŻETOWYCH NA 2019 R PLACÓWKI NIEPUBLICZNE </t>
  </si>
  <si>
    <t xml:space="preserve"> ZBIORCZY PROJEKT PLANU WYDATKÓW BUDŻETOWYCH OŚWIATY NA 2019 R</t>
  </si>
  <si>
    <t>Szkoła Komorów -zakup środków czystości, materiałów biurowych i piśmiennych,  druków,  wyposażenia (regały do biblioteki, szafki na książki), akcesorii i programów komputerowych,  tonerów i tuszy do drukarek, prenumeraty, śr.do konserwacji i napraw, materiałów medycznych i stomatologicznych, paliwa i inne</t>
  </si>
  <si>
    <t>Szkoła Komorów - dodatki wiejskie dla nauczycieli, pomoc zdrowotna dla nauczycieli</t>
  </si>
  <si>
    <t>Szkoła Nowa Wieś - dodatki wiejskie dla nauczycieli, pomoc zdrowotna dla nauczycieli</t>
  </si>
  <si>
    <t>Szkoła Michałowice - dodatki wiejskie dla nauczycieli, pomoc zdrowotna dla nauczycieli</t>
  </si>
  <si>
    <t>Szkoła Komorów - dodatki wiejskie dla nauczycieli, pomoc zdrowotna dla nauczycieli, odzież ochronna dla pracowników</t>
  </si>
  <si>
    <t>Szkoła Michałowice - dodatki wiejskie dla nauczycieli, pomoc zdrowotna dla nauczycieli, napoje i odzież ochronna dla pracowników</t>
  </si>
  <si>
    <t>Szkoła Nowa Wieś - dodatki wiejskie dla nauczycieli, pomoc zdrowotna dla nauczycieli, odzież ochronna dla pracowników</t>
  </si>
  <si>
    <t>Szkoła Komorów - wynagrodzenia osobowe pracowników, awanse nauczycielskie, urlop dla poratowania zdrowia, nauczanie indywidualne, nagrody specjalne DEN</t>
  </si>
  <si>
    <t>Szkoła Michałowice - wynagrodzenie osobowe pracowników, awanse nauczycielskie, nauczanie indywidualne, nagrody specjalne DEN</t>
  </si>
  <si>
    <t>Nowa Wieś -wynagrodzenia osobowe pracowników, awanse nauczycielskie,  nagrody specjalne DEN, nauczanie indywidualne, nagrody specjalne DEN</t>
  </si>
  <si>
    <t xml:space="preserve">wynagrodzenia osobowe pracowników, awans nauczycielski, nagrody specjalne DEN, nauczanie indywidualne </t>
  </si>
  <si>
    <t xml:space="preserve">zakup pomocy naukowch , dydaktycznych i książek     </t>
  </si>
  <si>
    <t>usługi pocztowe, wywóz śmieci, aktualizacja i dostęp do programów komputerowych,usługi transportowe, opłaty za ścieki, przeglądy budowlane, p-poż. i elektryczne, monitoring, obsługa związkowa ZNP i inne</t>
  </si>
  <si>
    <t xml:space="preserve"> dodatki wiejskie dla nauczycieli, pomoc zdrowotna dla nauczycieli</t>
  </si>
  <si>
    <t>dodatki wiejskie dla nauczycieli, pomoc zdrowotna dla nauczycieli</t>
  </si>
  <si>
    <t>wynagrodzenia osobowe pracowników, awanse nauczycielskie, urlopy dla poratowania zdrowia, nagrody specjalne DEN,  nauczanie indywidualne</t>
  </si>
  <si>
    <t>dodatki wiejskie dla nauczycieli,  pomoc zdrowotna dla nauczycieli</t>
  </si>
  <si>
    <t>monitoring, wywóz śmieci, usługi pocztowe, usługi transportowe, kominiarskie, przeglądy piecy grzewczych, ogłoszenia prasowe, monitoring, usługi montażowe, obsługa związkowa ZNP  i inne</t>
  </si>
  <si>
    <t>Dodatki wiejskie  dla nauczycieli SP - subwencja oświatowa</t>
  </si>
  <si>
    <t>Dodatki wiejskie  dla nauczycieli Gimn - subwencja oświatowa</t>
  </si>
  <si>
    <t>Dodatki wiejskie  dla nauczycieli LO - subwencja oświatowa</t>
  </si>
  <si>
    <t>wynagrodzenie osobowe pracowników, awanse nauczycielskie, nagrody specjalne DEN,  nauczanie indywidualne</t>
  </si>
  <si>
    <t xml:space="preserve">zakup środków czystości, materiałów biurowych i piśmiennych, druków, wyposażenia (ławki, krzesła), akcesoria i programy komputerowe,śr.do konserwacji i napraw, tonery i tusze do drukarek, prenumeraty,zakup wyrobów medycznych i stomatologicznych, rolet okiennych, paliwa  i inne </t>
  </si>
  <si>
    <r>
      <t>wywóz nieczystości, opłaty za ścieki, usługi pocztowe, prowadzenie strony internetowej, aktualizacja i opłaty za programy komputerowe, przegląd sprzętu p.poż, opłaty za basen, usługi transportowe, kominiarskie, opłaty RTV, wywóz odpadów medycznych,usługi kserograficzne, obsługa sanitarna boiska, przeglądy rolby, budowlane, CO, p-poż. i elektryczne, monitoring, montaż i demontaż hali pneumatycznej, dystrybucja energii elektrycznej, obsługa związkowa ZNP,  pełnienie obowiązków RODO, prowadzenie zajęć podczas ferii i inne</t>
    </r>
    <r>
      <rPr>
        <b/>
        <sz val="11"/>
        <rFont val="Times New Roman"/>
        <family val="1"/>
        <charset val="238"/>
      </rPr>
      <t xml:space="preserve"> </t>
    </r>
  </si>
  <si>
    <r>
      <t>Szkoła Michałowice- wywóz nieczystości, opłaty za ścieki, usługi pocztowe, prowadzenie strony internetowej, aktualizacja i opłaty za programy komputerowe, przegląd sprzętu p.poż, opłaty za basen, usługi transportowe, kominiarskie, opłaty RTV, wywóz odpadów medycznych,usługi kserograficzne, obsługa sanitarna boiska, przeglądy rolby, budowlane, CO, p-poż. i elektryczne, monitoring, montaż i demontaż hali pneumatycznej, dystrybucja energii elektrycznej, obsługa związkowa ZNP,  pełnienie obowiązków RODO, prowadzenie zajęć podczas ferii i inne</t>
    </r>
    <r>
      <rPr>
        <b/>
        <sz val="11"/>
        <rFont val="Times New Roman"/>
        <family val="1"/>
        <charset val="238"/>
      </rPr>
      <t xml:space="preserve"> </t>
    </r>
  </si>
  <si>
    <t>Szkoła Komorów- usługi pocztowe, wywóz nieczystości, aktualizacja programów komputerowych, opłaty za basen i naukę pływania,  usługi transportowe, kominiarskie, opłaty za ścieki, opłaty RTV, ogłoszenia prasowe, wynajem mat, monitoring,  usługi montażowe, koncerty, przeglądy pięcioletnie i roczne budynków szkolnych, gaśnic, placów zabaw, p-poż., dzierżawa kserokopiarki, pełnienie obowiązków RODO, dystrybucja energii elektrycznej, obsługa związkowa ZNP   i inne</t>
  </si>
  <si>
    <t xml:space="preserve">Szkoła Michałowice- zakup środków czystości, materiałów biurowych i piśmiennych, druków, wyposażenia (ławki, krzesła), akcesoria i programy komputerowe,śr.do konserwacji i napraw, tonery i tusze do drukarek, prenumeraty,zakup wyrobów medycznych i stomatologicznych, rolet okiennych, paliwa  i inne </t>
  </si>
  <si>
    <t>wynagrodzenia osobowe pracowników, awanse nauczycielskie, zasiłki na zagospodarowanie, nagrody specjalne DEN,  nauczanie indywidualne</t>
  </si>
  <si>
    <t xml:space="preserve">zakup środków czystości, materiałów biurowych i piśmiennych, druków, wyposażenia, akcesorii i programów komputerowych, śr.do konserwacji i napraw, tonerów i tuszy do drukarek, prenumeraty,  paliwa  i inne </t>
  </si>
  <si>
    <t xml:space="preserve">Gimnazjum Michałowice- zakup środków czystości, materiałów biurowych i piśmiennych, druków, wyposażenia, akcesorii i programów komputerowych, śr.do konserwacji i napraw, tonerów i tuszy do drukarek, prenumeraty,  paliwa  i inne </t>
  </si>
  <si>
    <t xml:space="preserve">wywóz nieczystości stałych, usługi pocztowe, usługi transportowe, monitoring,  opłaty za używanie programów komputerowych, przegląd sprzętu p. poż., oprawa arkuszy ocen, usługi transportowe, obsługa związkowa ZNP i inne </t>
  </si>
  <si>
    <t xml:space="preserve">Gimnazjum Michałowice- wywóz nieczystości stałych, usługi pocztowe, usługi transportowe, monitoring,  opłaty za używanie programów komputerowych, przegląd sprzętu p. poż., oprawa arkuszy ocen, usługi transportowe, obsługa związkowa ZNP i inne </t>
  </si>
  <si>
    <t>Szkoła Michałowice- wydatki na podróże służbowe krajowe i zwrot kosztów za używanie przez pracowników własnych pojazdów do celów służbowych w granicach administracyjnych gminy</t>
  </si>
  <si>
    <t>Przedszkole Michałowice - dodatki wiejskie dla nauczycieli,  pomoc zdrowotna dla nauczycieli, odzież ochronna</t>
  </si>
  <si>
    <t>Przedszkole Nowa Wieś - dodatki wiejskie dla nauczyciel,  pomoc zdrowotna dla nauczycieli, odzież ochronna</t>
  </si>
  <si>
    <t>Gimnazjum Komorów - dodatki wiejskie dla nauczycieli, pomoc zdrowotna dla nauczycieli, odzież ochronna</t>
  </si>
  <si>
    <t>Gimnazjum Michałowice - dodatki wiejskie dla nauczycieli, pomoc zdrowotna dla nauczycieli, odzież ochronna</t>
  </si>
  <si>
    <t>Gimnazjum  Nowa Wieś - dodatki wiejskie dla nauczycieli, pomoc zdrowotna dla nauczycieli, odzież ochronna</t>
  </si>
  <si>
    <t>Gimnazjum Komorów - wynagrodzenia osobowe pracowników, awanse nauczycielskie, urlop dla poratowania zdrowia , nagrody specjalne DEN, nauczanie indywidualne</t>
  </si>
  <si>
    <t>Gimnazjum Komorów - monitoring, wywóz śmieci, usługi pocztowe, usługi transportowe, kominiarskie, przeglądy piecy grzewczych, ogłoszenia prasowe, monitoring, usługi montażowe (rolety), obsługa związkowa ZNP   i inne</t>
  </si>
  <si>
    <t>Świetlica szkolna Komorów - dodatki wiejskie dla nauczycieli, pomoc zdrowotna dla nauczycieli</t>
  </si>
  <si>
    <t>Świetlica szkolna Michałowice - dodatki wiejskie dla nauczycieli, pomoc zdrowotna dla nauczycieli</t>
  </si>
  <si>
    <t>Świetlica szkolna Nowa Wieś - dodatki wiejskie dla nauczycieli, pomoc zdrowotna dla nauczycieli</t>
  </si>
  <si>
    <t>Gimnazjum  Nowa Wieś - wydatki na podróże służbowe krajowe</t>
  </si>
  <si>
    <t>Gimnazjum  Michałowice - wydatki na podróże służbowe krajowe</t>
  </si>
  <si>
    <t>nagrody Wójta dla nauczycieli z okazji DEN</t>
  </si>
  <si>
    <t xml:space="preserve">Szkoła Komorów prace remontowe budynku szkolnego </t>
  </si>
  <si>
    <t>nagroda jubileuszowa (1)</t>
  </si>
  <si>
    <t>Szkoła Michałowice - nagroda jubileuszowa (1)</t>
  </si>
  <si>
    <t>odprawa emerytalna (1)</t>
  </si>
  <si>
    <t xml:space="preserve">dodatki wiejskie dla nauczycieli, pomoc zdrowotna </t>
  </si>
  <si>
    <t>wynagrodzenia osobowe pracowników, awans nauczycielski, nagrody specjalne DEN</t>
  </si>
  <si>
    <t>zakup środków czystości, materiałów biurowych, piśmiennych, medycznych, wyposażenia, komputera, akcesorii i programów komputerowych, środków do konserwacji i napraw, artykułów hydraulicznych, technicznych, gospodarczych, sprzętu kuchennego, mebli do sal dydaktycznych, stroje dla dzieci na konkursy i przedstawienia, paliwa  i inne</t>
  </si>
  <si>
    <t>Przedszkole Michałowice- zakup środków czystości, materiałów biurowych, piśmiennych, medycznych, wyposażenia, komputera, akcesorii i programów komputerowych, środków do konserwacji i napraw, artykułów hydraulicznych, technicznych, gospodarczych, sprzętu kuchennego, mebli do sal dydaktycznych, stroje dla dzieci na konkursy i przedstawienia, paliwa  i inne</t>
  </si>
  <si>
    <t>Przedszkole Nowa Wieś- zakup pomocy naukowych, dydaktycznych i książek  (art.plastyczne, zabawki, książki, przewodniki metodyczne)</t>
  </si>
  <si>
    <r>
      <t xml:space="preserve">W projekcie planu finansowego proszę o zaplanowanie  wydatków inwestycyjnych w kwocie 85 000 zł.(na modernioazację budynku </t>
    </r>
    <r>
      <rPr>
        <b/>
        <sz val="11"/>
        <rFont val="Times New Roman"/>
        <family val="1"/>
        <charset val="238"/>
      </rPr>
      <t>Przedszkola w Miichałowicach</t>
    </r>
    <r>
      <rPr>
        <sz val="11"/>
        <rFont val="Times New Roman"/>
        <family val="1"/>
        <charset val="238"/>
      </rPr>
      <t xml:space="preserve">- częściowa wymiana ogrodzenia przedszkolnego, wyłożenie kostką chodnika, odnowienie sal dydaktycznych) </t>
    </r>
  </si>
  <si>
    <t>wywóz nieczystości,  odpadów kuchennych, usługi pocztowe, prowadzenie strony internetowej, aktualizacja programów komputerowych, przegląd gaśnic, kominiarskie, opłaty za monitoring budynku i ogródka, opłaty za ścieki, imprezy edukacyjne(teatrzyk, koncert), serwisowanie programów komputerowych i urządzeń wentylacyjnych, przeglądy p-poż., pełnienie obowiązków RODO,  dystrybucja energii elektrycznej, najem urządzeń do dystrybucji wody, usługi transportowe, deratyzacja  i inne</t>
  </si>
  <si>
    <t>Przedszkole Michałowice- wywóz nieczystości,  odpadów kuchennych, usługi pocztowe, prowadzenie strony internetowej, aktualizacja programów komputerowych, przegląd gaśnic, kominiarskie, opłaty za monitoring budynku i ogródka, opłaty za ścieki, imprezy edukacyjne(teatrzyk, koncert), serwisowanie programów komputerowych i urządzeń wentylacyjnych, przeglądy p-poż., pełnienie obowiązków RODO,  dystrybucja energii elektrycznej, najem urządzeń do dystrybucji wody, usługi transportowe, deratyzacja  i inne</t>
  </si>
  <si>
    <t>dodatki wiejskie - przedszkola gminne</t>
  </si>
  <si>
    <t>dodatki wiejskie - oddziały przedszkolne</t>
  </si>
  <si>
    <t>zakup środków czystości, materiałów biurowych, piśmiennych, wyposażenia,  środków do konserwacji i napraw, artykułów hydraulicznych, technicznych, gospodarczych, sprzętu kuchennego, zakup mebli do szatni, półek na leżaki, paliwa i inne</t>
  </si>
  <si>
    <t>Przedszkole Nowa Wieś- zakup środków czystości, materiałów biurowych, piśmiennych, wyposażenia,  środków do konserwacji i napraw, artykułów hydraulicznych, technicznych, gospodarczych, sprzętu kuchennego, zakup mebli do szatni, półek na leżaki, paliwa i inne</t>
  </si>
  <si>
    <t>usługi pocztowe, wywóz śmieci i odpadów kuchennych, serwis programów komputerowych, usługi kominiarskie, opłaty za monitoring budynku, opłaty za ścieki, opłaty RTV, teatrzyki i spotkania edukacyjne, przglądy budowlane i p-poz., pełnienie obowiązków RODO,  dystrybucja energii elektrycznej   i inne</t>
  </si>
  <si>
    <t>Przedszkole Nowa Wieś- usługi pocztowe, wywóz śmieci i odpadów kuchennych, serwis programów komputerowych, usługi kominiarskie, opłaty za monitoring budynku, opłaty za ścieki, opłaty RTV, teatrzyki i spotkania edukacyjne, przglądy budowlane i p-poz., pełnienie obowiązków RODO,  dystrybucja energii elektrycznej   i inne</t>
  </si>
  <si>
    <t>wynagrodzenia osobowe pracowników, awanse nauczycielskie, zasiłek na zagospodarowanie,  nagrody specjalne DEN,  nauczanie indywidualne</t>
  </si>
  <si>
    <t>nagrody jubileuszowe (7), odprawy emerytalne  (7)</t>
  </si>
  <si>
    <t>zakup środków czystości, materiałów biurowych i piśmiennych,  tonerów i tuszy do drukarek, akcesorii i programów komputerowych, wyposażenia (tablice szklone, ławki, krzesła), środków do konserwacji i napraw, materiałów medycznych, paliwa i inne</t>
  </si>
  <si>
    <t>Szkoła Nowa Wieś- zakup środków czystości, materiałów biurowych i piśmiennych,  tonerów i tuszy do drukarek, akcesorii i programów komputerowych, wyposażenia (tablice szklone, ławki, krzesła), środków do konserwacji i napraw, materiałów medycznych, paliwa i inne</t>
  </si>
  <si>
    <t>wywóz nieczystości, opłaty za ścieki, monitoring, aktualizacja programów komputerowych,  usługi transportowe, kominiarskie, kserograficzne, obsługa informatyczna, przeglądy budowlane, p.poż, elektryczne,  kotłów, placu zabaw, opłaty RTV, opłaty za basen, usługi pocztowe, obsługa związkowa ZNP, pełnienie obowiązków RODO,  dystrybucja energii elektrycznej i inne</t>
  </si>
  <si>
    <t>dokształcanie nauczycieli SP</t>
  </si>
  <si>
    <t>dodatki wiejskie dla nauczycieli SP- subwencja oświatowa</t>
  </si>
  <si>
    <t>wynagrodzenie osobowe pracowników SP- subwencja oświatowa</t>
  </si>
  <si>
    <t>składki na ubezpieczenia społeczne SP- subwencja oświatowa</t>
  </si>
  <si>
    <t>składki na fundusz pracy SP - subwencja oświatowa</t>
  </si>
  <si>
    <t>zakup materiałów i wyposażenia SP - subwencja oświatowa</t>
  </si>
  <si>
    <t>zakup pomocy dydaktycznych SP- subwencja oświatowa</t>
  </si>
  <si>
    <t>zakup pomocy dydaktycznych Gimn- dotacja podręcznikowa</t>
  </si>
  <si>
    <t>prowadzenie zajęć z integracji sensorycznej SP</t>
  </si>
  <si>
    <t>Szkoła Nowa Wieś- wywóz nieczystości, opłaty za ścieki, monitoring, aktualizacja programów komputerowych,  usługi transportowe, kominiarskie, kserograficzne, obsługa informatyczna, przeglądy budowlane, p.poż, elektryczne,  kotłów, placu zabaw, opłaty RTV, opłaty za basen, usługi pocztowe, obsługa związkowa ZNP, pełnienie obowiązków RODO,  dystrybucja energii elektrycznej i inne</t>
  </si>
  <si>
    <t>Szkoła Komorów  -zakup usług</t>
  </si>
  <si>
    <t>wynagrodzenia osobowe pracowników, nagrody specjalne DEN, nauczanie indywidualne</t>
  </si>
  <si>
    <t>nagrody jubileuszowe, odprawy emerytalne</t>
  </si>
  <si>
    <t>usługi pocztowe, usługi transportowe, kominiarskie, monitoring, przeglądy p.pożarowe, obsługa związkowa ZNP i inne</t>
  </si>
  <si>
    <t xml:space="preserve">Gimnazjum Nowa Wieś- zakup środków czystości, materiałów biurowych i piśmiennych, wyposażenia,  tonerów i tuszy do drukarek, akcesorii i programów komputerowych, środków do konserwacji i inne </t>
  </si>
  <si>
    <t>Gimnazjum Nowa Wieś- usługi pocztowe, usługi transportowe, kominiarskie, monitoring, przeglądy p.pożarowe, obsługa związkowa ZNP i inne</t>
  </si>
  <si>
    <t>usługi pocztowe, rozliczenie kserokopiarki, serwis nad oprogramowaniem, opłaty za licencje, pełnienie obowiązków RODO i inne</t>
  </si>
  <si>
    <t xml:space="preserve">nagrody jubileuszowe (4) </t>
  </si>
  <si>
    <t>Szkoła Michałowice -umowy zlecenia: prowadzenie klubu szachowego Hetman,  prowadzenie zajęć dodatkowych w czasie ferii i wakacji,  prowadzenie zajęć łyżwiarskich  i inne prace zlecone</t>
  </si>
  <si>
    <t>Szkoła Komorów- usługi pocztowe, wywóz nieczystości, aktualizacja programów komputerowych, opłaty za basen,  usługi transportowe, kominiarskie, opłaty za ścieki, opłaty RTV, ogłoszenia prasowe, wynajem mat, monitoring,  usługi montażowe, koncerty, przeglądy pięcioletnie i roczne budynków szkolnych, gaśnic, placów zabaw, p-poż., dzierżawa kserokopiarki, pełnienie obowiązków RODO, dystrybucja energii elektrycznej, obsługa związkowa ZNP   i inne</t>
  </si>
  <si>
    <t>usługi pocztowe, wywóz nieczystości, aktualizacja programów komputerowych, opłaty za basen,  usługi transportowe, kominiarskie, opłaty za ścieki, opłaty RTV, ogłoszenia prasowe, wynajem mat, monitoring,  usługi montażowe, koncerty, przeglądy pięcioletnie i roczne budynków szkolnych, gaśnic, placów zabaw, p-poż., dzierżawa kserokopiarki, pełnienie obowiązków RODO, obsługa związkowa ZNP,  dystrybucja energii elektrycznej i inne</t>
  </si>
  <si>
    <t>nagrody Wójta dla nauczycieli</t>
  </si>
  <si>
    <t>szkolenia nauczycieli</t>
  </si>
  <si>
    <t>Projekt planu bez inwestycji na 2019</t>
  </si>
  <si>
    <t>Projekt planu z inwestycjami na 2019r</t>
  </si>
  <si>
    <t>Statystyczna liczba dzieci niepełnosprawnych wg wag ( 1 dziecko *4 350*12)</t>
  </si>
  <si>
    <t>koszt 1 etatu</t>
  </si>
  <si>
    <t>8,5 etatów</t>
  </si>
  <si>
    <t>3 etaty</t>
  </si>
  <si>
    <t>Koszt utrzymania dziecka w oddziałach przedszkolnych</t>
  </si>
  <si>
    <t>Projekt planu z inwestycjami na 2018r</t>
  </si>
  <si>
    <t>Oddziały przedszkolne Komorów</t>
  </si>
  <si>
    <t xml:space="preserve">Oddziały przedszkolne Michałowice </t>
  </si>
  <si>
    <t>Oddziały przedszkolne Nowa Wieś</t>
  </si>
  <si>
    <t>budżet CUW pomniejszony o 1 etat niezwiązane z obsługą oddziałów przedszkolnych publicznych</t>
  </si>
  <si>
    <t xml:space="preserve">Planowane opłaty </t>
  </si>
  <si>
    <t>Statystyczna liczba dzieci niepełnosprawnych wg wag ( 1 dziecko *1007,26*12)</t>
  </si>
  <si>
    <t xml:space="preserve">Projekt planu dotacji dla oddziałów przedszkolnych jednostek systemu oświaty i wychowania na 2019 rok </t>
  </si>
  <si>
    <t xml:space="preserve">Planowana dotacja dla oddziału przedszkolego w niepublicznej szkole na 1 dziecko ( w Gminie 75% wydatków bieżących w oddziałach przedszkolnych publicznych) </t>
  </si>
</sst>
</file>

<file path=xl/styles.xml><?xml version="1.0" encoding="utf-8"?>
<styleSheet xmlns="http://schemas.openxmlformats.org/spreadsheetml/2006/main">
  <numFmts count="1">
    <numFmt numFmtId="164" formatCode="0.0%"/>
  </numFmts>
  <fonts count="73">
    <font>
      <sz val="10"/>
      <name val="Arial CE"/>
      <charset val="238"/>
    </font>
    <font>
      <sz val="10"/>
      <name val="Arial CE"/>
      <charset val="238"/>
    </font>
    <font>
      <b/>
      <sz val="10"/>
      <name val="Times New Roman"/>
      <family val="1"/>
      <charset val="238"/>
    </font>
    <font>
      <sz val="10"/>
      <name val="Times New Roman"/>
      <family val="1"/>
      <charset val="238"/>
    </font>
    <font>
      <sz val="8"/>
      <name val="Arial CE"/>
      <charset val="238"/>
    </font>
    <font>
      <b/>
      <sz val="10"/>
      <name val="Arial CE"/>
      <charset val="238"/>
    </font>
    <font>
      <b/>
      <sz val="10"/>
      <name val="Arial"/>
      <family val="2"/>
      <charset val="238"/>
    </font>
    <font>
      <sz val="9"/>
      <name val="Times New Roman"/>
      <family val="1"/>
      <charset val="238"/>
    </font>
    <font>
      <b/>
      <sz val="11"/>
      <name val="Times New Roman"/>
      <family val="1"/>
      <charset val="238"/>
    </font>
    <font>
      <sz val="11"/>
      <name val="Arial CE"/>
      <charset val="238"/>
    </font>
    <font>
      <sz val="11"/>
      <name val="Times New Roman"/>
      <family val="1"/>
      <charset val="238"/>
    </font>
    <font>
      <i/>
      <sz val="11"/>
      <name val="Times New Roman"/>
      <family val="1"/>
      <charset val="238"/>
    </font>
    <font>
      <b/>
      <sz val="11"/>
      <name val="Arial CE"/>
      <charset val="238"/>
    </font>
    <font>
      <b/>
      <i/>
      <sz val="11"/>
      <name val="Times New Roman"/>
      <family val="1"/>
      <charset val="238"/>
    </font>
    <font>
      <sz val="10"/>
      <name val="Arial CE"/>
      <charset val="238"/>
    </font>
    <font>
      <b/>
      <sz val="12"/>
      <name val="Times New Roman"/>
      <family val="1"/>
      <charset val="238"/>
    </font>
    <font>
      <sz val="12"/>
      <name val="Times New Roman"/>
      <family val="1"/>
      <charset val="238"/>
    </font>
    <font>
      <b/>
      <i/>
      <sz val="11"/>
      <name val="Arial CE"/>
      <charset val="238"/>
    </font>
    <font>
      <i/>
      <sz val="10"/>
      <name val="Arial CE"/>
      <charset val="238"/>
    </font>
    <font>
      <sz val="8"/>
      <name val="Times New Roman"/>
      <family val="1"/>
      <charset val="238"/>
    </font>
    <font>
      <sz val="9"/>
      <name val="Arial CE"/>
      <charset val="238"/>
    </font>
    <font>
      <i/>
      <sz val="12"/>
      <name val="Times New Roman"/>
      <family val="1"/>
      <charset val="238"/>
    </font>
    <font>
      <b/>
      <sz val="8"/>
      <name val="Times New Roman"/>
      <family val="1"/>
      <charset val="238"/>
    </font>
    <font>
      <b/>
      <sz val="9"/>
      <name val="Times New Roman"/>
      <family val="1"/>
      <charset val="238"/>
    </font>
    <font>
      <b/>
      <sz val="8"/>
      <name val="Arial CE"/>
      <charset val="238"/>
    </font>
    <font>
      <b/>
      <sz val="7"/>
      <name val="Arial CE"/>
      <charset val="238"/>
    </font>
    <font>
      <b/>
      <sz val="11"/>
      <name val="Times New Roman"/>
      <family val="1"/>
      <charset val="238"/>
    </font>
    <font>
      <sz val="11"/>
      <name val="Times New Roman"/>
      <family val="1"/>
      <charset val="238"/>
    </font>
    <font>
      <sz val="11"/>
      <name val="Arial CE"/>
      <charset val="238"/>
    </font>
    <font>
      <sz val="12"/>
      <name val="Times New Roman"/>
      <family val="1"/>
      <charset val="238"/>
    </font>
    <font>
      <b/>
      <sz val="12"/>
      <name val="Times New Roman"/>
      <family val="1"/>
      <charset val="238"/>
    </font>
    <font>
      <i/>
      <sz val="11"/>
      <name val="Times New Roman"/>
      <family val="1"/>
      <charset val="238"/>
    </font>
    <font>
      <b/>
      <sz val="9"/>
      <name val="Times New Roman"/>
      <family val="1"/>
      <charset val="238"/>
    </font>
    <font>
      <sz val="10"/>
      <name val="Arial CE"/>
      <charset val="238"/>
    </font>
    <font>
      <b/>
      <i/>
      <sz val="11"/>
      <name val="Times New Roman"/>
      <family val="1"/>
      <charset val="238"/>
    </font>
    <font>
      <b/>
      <sz val="10"/>
      <name val="Arial CE"/>
      <charset val="238"/>
    </font>
    <font>
      <b/>
      <sz val="10"/>
      <name val="Arial CE"/>
      <family val="1"/>
      <charset val="238"/>
    </font>
    <font>
      <sz val="10"/>
      <name val="Arial CE"/>
      <family val="1"/>
      <charset val="238"/>
    </font>
    <font>
      <sz val="10"/>
      <name val="Arial CE"/>
      <charset val="238"/>
    </font>
    <font>
      <b/>
      <sz val="10"/>
      <name val="Arial"/>
      <family val="2"/>
      <charset val="238"/>
    </font>
    <font>
      <b/>
      <sz val="10"/>
      <name val="Arial CE"/>
      <charset val="238"/>
    </font>
    <font>
      <b/>
      <sz val="8"/>
      <name val="Arial CE"/>
      <charset val="238"/>
    </font>
    <font>
      <b/>
      <sz val="7"/>
      <name val="Arial CE"/>
      <charset val="238"/>
    </font>
    <font>
      <sz val="9"/>
      <name val="Arial CE"/>
      <charset val="238"/>
    </font>
    <font>
      <sz val="8"/>
      <name val="Arial CE"/>
      <charset val="238"/>
    </font>
    <font>
      <b/>
      <sz val="11"/>
      <name val="Times New Roman"/>
      <family val="1"/>
      <charset val="238"/>
    </font>
    <font>
      <sz val="11"/>
      <name val="Arial CE"/>
      <charset val="238"/>
    </font>
    <font>
      <sz val="11"/>
      <name val="Times New Roman"/>
      <family val="1"/>
      <charset val="238"/>
    </font>
    <font>
      <i/>
      <sz val="11"/>
      <name val="Times New Roman"/>
      <family val="1"/>
      <charset val="238"/>
    </font>
    <font>
      <b/>
      <sz val="11"/>
      <name val="Arial CE"/>
      <charset val="238"/>
    </font>
    <font>
      <b/>
      <i/>
      <sz val="11"/>
      <name val="Times New Roman"/>
      <family val="1"/>
      <charset val="238"/>
    </font>
    <font>
      <sz val="10"/>
      <name val="Arial CE"/>
      <charset val="238"/>
    </font>
    <font>
      <b/>
      <sz val="12"/>
      <name val="Times New Roman"/>
      <family val="1"/>
      <charset val="238"/>
    </font>
    <font>
      <b/>
      <sz val="8"/>
      <name val="Times New Roman"/>
      <family val="1"/>
      <charset val="238"/>
    </font>
    <font>
      <sz val="8"/>
      <name val="Times New Roman"/>
      <family val="1"/>
      <charset val="238"/>
    </font>
    <font>
      <sz val="8"/>
      <name val="Arial CE"/>
      <charset val="238"/>
    </font>
    <font>
      <b/>
      <sz val="10"/>
      <name val="Arial CE"/>
      <charset val="238"/>
    </font>
    <font>
      <sz val="9"/>
      <name val="Times New Roman"/>
      <family val="1"/>
      <charset val="238"/>
    </font>
    <font>
      <sz val="12"/>
      <name val="Times New Roman"/>
      <family val="1"/>
      <charset val="238"/>
    </font>
    <font>
      <i/>
      <sz val="12"/>
      <name val="Times New Roman"/>
      <family val="1"/>
      <charset val="238"/>
    </font>
    <font>
      <i/>
      <sz val="10"/>
      <name val="Arial CE"/>
      <charset val="238"/>
    </font>
    <font>
      <sz val="10"/>
      <name val="Times New Roman"/>
      <family val="1"/>
      <charset val="238"/>
    </font>
    <font>
      <b/>
      <sz val="10"/>
      <name val="Times New Roman"/>
      <family val="1"/>
      <charset val="238"/>
    </font>
    <font>
      <sz val="9"/>
      <name val="Arial CE"/>
      <charset val="238"/>
    </font>
    <font>
      <b/>
      <sz val="11"/>
      <name val="Times New Roman"/>
      <family val="1"/>
      <charset val="238"/>
    </font>
    <font>
      <sz val="11"/>
      <name val="Times New Roman"/>
      <family val="1"/>
      <charset val="238"/>
    </font>
    <font>
      <sz val="12"/>
      <name val="Times New Roman"/>
      <family val="1"/>
      <charset val="238"/>
    </font>
    <font>
      <b/>
      <sz val="12"/>
      <name val="Times New Roman"/>
      <family val="1"/>
      <charset val="238"/>
    </font>
    <font>
      <sz val="10"/>
      <name val="Times New Roman"/>
      <family val="1"/>
      <charset val="238"/>
    </font>
    <font>
      <b/>
      <sz val="8"/>
      <name val="Times New Roman"/>
      <family val="1"/>
      <charset val="238"/>
    </font>
    <font>
      <sz val="8"/>
      <name val="Times New Roman"/>
      <family val="1"/>
      <charset val="238"/>
    </font>
    <font>
      <b/>
      <i/>
      <sz val="11"/>
      <name val="Times New Roman"/>
      <family val="1"/>
      <charset val="238"/>
    </font>
    <font>
      <i/>
      <sz val="11"/>
      <name val="Times New Roman"/>
      <family val="1"/>
      <charset val="23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s>
  <cellStyleXfs count="2">
    <xf numFmtId="0" fontId="0" fillId="0" borderId="0"/>
    <xf numFmtId="9" fontId="1" fillId="0" borderId="0" applyFont="0" applyFill="0" applyBorder="0" applyAlignment="0" applyProtection="0"/>
  </cellStyleXfs>
  <cellXfs count="797">
    <xf numFmtId="0" fontId="0" fillId="0" borderId="0" xfId="0"/>
    <xf numFmtId="0" fontId="3" fillId="0" borderId="0" xfId="0" applyFont="1" applyBorder="1" applyAlignment="1">
      <alignment vertical="top" wrapText="1"/>
    </xf>
    <xf numFmtId="0" fontId="0" fillId="0" borderId="0" xfId="0" applyAlignment="1">
      <alignment vertical="top" wrapText="1"/>
    </xf>
    <xf numFmtId="0" fontId="5" fillId="0" borderId="0" xfId="0" applyFont="1" applyAlignment="1">
      <alignment vertical="top"/>
    </xf>
    <xf numFmtId="0" fontId="5" fillId="0" borderId="1" xfId="0" applyFont="1" applyBorder="1" applyAlignment="1">
      <alignment vertical="top"/>
    </xf>
    <xf numFmtId="3" fontId="5" fillId="0" borderId="1" xfId="0" applyNumberFormat="1" applyFont="1" applyBorder="1" applyAlignment="1">
      <alignment vertical="top"/>
    </xf>
    <xf numFmtId="4" fontId="5" fillId="0" borderId="1" xfId="0" applyNumberFormat="1" applyFont="1" applyBorder="1" applyAlignment="1">
      <alignment vertical="top"/>
    </xf>
    <xf numFmtId="0" fontId="5" fillId="0" borderId="1" xfId="0" applyFont="1" applyBorder="1" applyAlignment="1">
      <alignment vertical="top" wrapText="1"/>
    </xf>
    <xf numFmtId="0" fontId="5" fillId="0" borderId="0" xfId="0" applyFont="1" applyBorder="1" applyAlignment="1">
      <alignment vertical="top"/>
    </xf>
    <xf numFmtId="3" fontId="5" fillId="0" borderId="0" xfId="0" applyNumberFormat="1" applyFont="1" applyBorder="1" applyAlignment="1">
      <alignment vertical="top"/>
    </xf>
    <xf numFmtId="4" fontId="5" fillId="0" borderId="0" xfId="0" applyNumberFormat="1" applyFont="1" applyBorder="1" applyAlignment="1">
      <alignment vertical="top"/>
    </xf>
    <xf numFmtId="4" fontId="5" fillId="0" borderId="1" xfId="0" applyNumberFormat="1" applyFont="1" applyBorder="1" applyAlignment="1">
      <alignment vertical="top" wrapText="1"/>
    </xf>
    <xf numFmtId="0" fontId="6" fillId="0" borderId="0" xfId="0" applyFont="1" applyAlignment="1">
      <alignment horizontal="left" vertical="top" wrapText="1"/>
    </xf>
    <xf numFmtId="0" fontId="10" fillId="0" borderId="0" xfId="0" applyFont="1"/>
    <xf numFmtId="0" fontId="8" fillId="0" borderId="1" xfId="0" applyFont="1" applyBorder="1" applyAlignment="1">
      <alignment horizontal="center" vertical="top" wrapText="1"/>
    </xf>
    <xf numFmtId="0" fontId="10" fillId="0" borderId="1" xfId="0" applyFont="1" applyBorder="1" applyAlignment="1">
      <alignment horizontal="center" vertical="top" wrapText="1"/>
    </xf>
    <xf numFmtId="49" fontId="10" fillId="0" borderId="2" xfId="0" applyNumberFormat="1" applyFont="1" applyBorder="1" applyAlignment="1">
      <alignment horizontal="center" vertical="top" wrapText="1"/>
    </xf>
    <xf numFmtId="0" fontId="11" fillId="0" borderId="1" xfId="0" applyFont="1" applyBorder="1" applyAlignment="1">
      <alignment vertical="top"/>
    </xf>
    <xf numFmtId="0" fontId="11" fillId="0" borderId="1" xfId="0" applyFont="1" applyBorder="1" applyAlignment="1">
      <alignment vertical="justify" wrapText="1"/>
    </xf>
    <xf numFmtId="164" fontId="11" fillId="0" borderId="1" xfId="0" applyNumberFormat="1" applyFont="1" applyBorder="1" applyAlignment="1">
      <alignment vertical="top"/>
    </xf>
    <xf numFmtId="0" fontId="10" fillId="0" borderId="1" xfId="0" applyFont="1" applyBorder="1" applyAlignment="1">
      <alignment vertical="top"/>
    </xf>
    <xf numFmtId="0" fontId="10" fillId="0" borderId="1" xfId="0" applyFont="1" applyBorder="1" applyAlignment="1">
      <alignment vertical="justify" wrapText="1"/>
    </xf>
    <xf numFmtId="3" fontId="10" fillId="0" borderId="1" xfId="0" applyNumberFormat="1" applyFont="1" applyBorder="1" applyAlignment="1">
      <alignment vertical="top"/>
    </xf>
    <xf numFmtId="164" fontId="10" fillId="0" borderId="1" xfId="0" applyNumberFormat="1" applyFont="1" applyBorder="1" applyAlignment="1">
      <alignment vertical="top"/>
    </xf>
    <xf numFmtId="3" fontId="10" fillId="0" borderId="0" xfId="0" applyNumberFormat="1" applyFont="1"/>
    <xf numFmtId="3" fontId="8" fillId="0" borderId="1" xfId="0" applyNumberFormat="1" applyFont="1" applyBorder="1" applyAlignment="1">
      <alignment vertical="top"/>
    </xf>
    <xf numFmtId="164" fontId="8" fillId="0" borderId="1" xfId="0" applyNumberFormat="1" applyFont="1" applyBorder="1" applyAlignment="1">
      <alignment vertical="top"/>
    </xf>
    <xf numFmtId="0" fontId="10" fillId="0" borderId="1" xfId="0" applyFont="1" applyBorder="1" applyAlignment="1">
      <alignment vertical="top" wrapText="1"/>
    </xf>
    <xf numFmtId="0" fontId="10" fillId="0" borderId="1" xfId="0" applyFont="1" applyBorder="1" applyAlignment="1" applyProtection="1">
      <alignment vertical="top"/>
      <protection locked="0"/>
    </xf>
    <xf numFmtId="0" fontId="10" fillId="0" borderId="1" xfId="0" applyFont="1" applyBorder="1" applyAlignment="1" applyProtection="1">
      <alignment vertical="top" wrapText="1"/>
      <protection locked="0"/>
    </xf>
    <xf numFmtId="0" fontId="11" fillId="0" borderId="1" xfId="0" applyFont="1" applyBorder="1" applyAlignment="1">
      <alignment horizontal="center"/>
    </xf>
    <xf numFmtId="0" fontId="10" fillId="0" borderId="1" xfId="0" applyFont="1" applyBorder="1" applyAlignment="1">
      <alignment horizontal="center"/>
    </xf>
    <xf numFmtId="0" fontId="8" fillId="0" borderId="1" xfId="0" applyFont="1" applyBorder="1" applyAlignment="1">
      <alignment vertical="top"/>
    </xf>
    <xf numFmtId="0" fontId="10" fillId="0" borderId="1" xfId="0" applyFont="1" applyBorder="1" applyAlignment="1">
      <alignment horizontal="left"/>
    </xf>
    <xf numFmtId="0" fontId="10" fillId="0" borderId="1" xfId="0" applyFont="1" applyBorder="1" applyAlignment="1">
      <alignment horizontal="center" vertical="top"/>
    </xf>
    <xf numFmtId="0" fontId="10" fillId="0" borderId="3" xfId="0" applyFont="1" applyBorder="1" applyAlignment="1">
      <alignment horizontal="left" wrapText="1"/>
    </xf>
    <xf numFmtId="0" fontId="10" fillId="0" borderId="3" xfId="0" applyFont="1" applyBorder="1" applyAlignment="1">
      <alignment vertical="justify" wrapText="1"/>
    </xf>
    <xf numFmtId="4" fontId="8" fillId="0" borderId="0" xfId="0" applyNumberFormat="1" applyFont="1" applyBorder="1" applyAlignment="1">
      <alignment vertical="top"/>
    </xf>
    <xf numFmtId="164" fontId="8" fillId="0" borderId="0" xfId="0" applyNumberFormat="1" applyFont="1" applyBorder="1" applyAlignment="1">
      <alignment vertical="top"/>
    </xf>
    <xf numFmtId="3" fontId="8" fillId="0" borderId="0" xfId="0" applyNumberFormat="1" applyFont="1"/>
    <xf numFmtId="0" fontId="10" fillId="0" borderId="4" xfId="0" applyFont="1" applyBorder="1" applyAlignment="1">
      <alignment vertical="top" wrapText="1"/>
    </xf>
    <xf numFmtId="0" fontId="3" fillId="0" borderId="0" xfId="0" applyFont="1" applyAlignment="1">
      <alignment vertical="top"/>
    </xf>
    <xf numFmtId="49" fontId="16" fillId="0" borderId="2" xfId="0" applyNumberFormat="1" applyFont="1" applyBorder="1" applyAlignment="1">
      <alignment horizontal="center" vertical="top" wrapText="1"/>
    </xf>
    <xf numFmtId="164" fontId="16" fillId="0" borderId="1" xfId="0" applyNumberFormat="1" applyFont="1" applyBorder="1" applyAlignment="1">
      <alignment vertical="top"/>
    </xf>
    <xf numFmtId="0" fontId="16" fillId="0" borderId="1" xfId="0" applyFont="1" applyBorder="1" applyAlignment="1">
      <alignment vertical="top" wrapText="1"/>
    </xf>
    <xf numFmtId="0" fontId="16" fillId="0" borderId="1" xfId="0" quotePrefix="1" applyFont="1" applyBorder="1" applyAlignment="1" applyProtection="1">
      <alignment vertical="top" wrapText="1"/>
      <protection locked="0"/>
    </xf>
    <xf numFmtId="164" fontId="15" fillId="0" borderId="1" xfId="0" applyNumberFormat="1" applyFont="1" applyBorder="1" applyAlignment="1">
      <alignment vertical="top"/>
    </xf>
    <xf numFmtId="0" fontId="10" fillId="0" borderId="0" xfId="0" applyFont="1" applyAlignment="1">
      <alignment vertical="top"/>
    </xf>
    <xf numFmtId="0" fontId="10" fillId="0" borderId="0" xfId="0" applyFont="1" applyBorder="1" applyAlignment="1">
      <alignment horizontal="center" vertical="top" wrapText="1"/>
    </xf>
    <xf numFmtId="49" fontId="10" fillId="0" borderId="1" xfId="0" applyNumberFormat="1" applyFont="1" applyBorder="1" applyAlignment="1">
      <alignment horizontal="center" vertical="top" wrapText="1"/>
    </xf>
    <xf numFmtId="3" fontId="10" fillId="0" borderId="1" xfId="0" applyNumberFormat="1" applyFont="1" applyBorder="1" applyAlignment="1">
      <alignment vertical="top" wrapText="1"/>
    </xf>
    <xf numFmtId="164" fontId="10" fillId="0" borderId="1" xfId="1" applyNumberFormat="1" applyFont="1" applyBorder="1" applyAlignment="1">
      <alignment vertical="top" wrapText="1"/>
    </xf>
    <xf numFmtId="0" fontId="10" fillId="0" borderId="0" xfId="0" applyFont="1" applyBorder="1" applyAlignment="1">
      <alignment vertical="top" wrapText="1"/>
    </xf>
    <xf numFmtId="3" fontId="10" fillId="0" borderId="1" xfId="0" applyNumberFormat="1" applyFont="1" applyBorder="1" applyAlignment="1" applyProtection="1">
      <alignment vertical="top" wrapText="1"/>
      <protection locked="0"/>
    </xf>
    <xf numFmtId="3" fontId="8" fillId="0" borderId="1" xfId="0" applyNumberFormat="1" applyFont="1" applyBorder="1" applyAlignment="1">
      <alignment vertical="top" wrapText="1"/>
    </xf>
    <xf numFmtId="164" fontId="8" fillId="0" borderId="1" xfId="1" applyNumberFormat="1" applyFont="1" applyBorder="1" applyAlignment="1">
      <alignment vertical="top" wrapText="1"/>
    </xf>
    <xf numFmtId="3" fontId="10" fillId="0" borderId="0" xfId="0" applyNumberFormat="1" applyFont="1" applyAlignment="1">
      <alignment vertical="top"/>
    </xf>
    <xf numFmtId="0" fontId="10" fillId="0" borderId="1" xfId="0" applyFont="1" applyBorder="1" applyAlignment="1">
      <alignment horizontal="left" vertical="top" wrapText="1"/>
    </xf>
    <xf numFmtId="0" fontId="10" fillId="0" borderId="4" xfId="0" applyFont="1" applyBorder="1" applyAlignment="1">
      <alignment horizontal="left" vertical="top" wrapText="1"/>
    </xf>
    <xf numFmtId="3" fontId="13" fillId="0" borderId="1" xfId="0" applyNumberFormat="1" applyFont="1" applyBorder="1" applyAlignment="1">
      <alignment vertical="top" wrapText="1"/>
    </xf>
    <xf numFmtId="0" fontId="10" fillId="0" borderId="1" xfId="0" quotePrefix="1" applyFont="1" applyBorder="1" applyAlignment="1" applyProtection="1">
      <alignment vertical="top" wrapText="1"/>
      <protection locked="0"/>
    </xf>
    <xf numFmtId="0" fontId="8" fillId="0" borderId="0" xfId="0" applyFont="1" applyAlignment="1">
      <alignment vertical="top"/>
    </xf>
    <xf numFmtId="0" fontId="8" fillId="0" borderId="0" xfId="0" applyFont="1" applyBorder="1" applyAlignment="1">
      <alignment vertical="top" wrapText="1"/>
    </xf>
    <xf numFmtId="0" fontId="10" fillId="0" borderId="3" xfId="0" applyFont="1" applyBorder="1" applyAlignment="1">
      <alignment vertical="top" wrapText="1"/>
    </xf>
    <xf numFmtId="0" fontId="10" fillId="0" borderId="5" xfId="0" applyFont="1" applyBorder="1" applyAlignment="1">
      <alignment horizontal="left" vertical="top" wrapText="1"/>
    </xf>
    <xf numFmtId="0" fontId="8" fillId="0" borderId="1" xfId="0" applyFont="1" applyBorder="1" applyAlignment="1">
      <alignment vertical="top" wrapText="1"/>
    </xf>
    <xf numFmtId="164" fontId="13" fillId="0" borderId="1" xfId="1" applyNumberFormat="1" applyFont="1" applyBorder="1" applyAlignment="1">
      <alignment vertical="top" wrapText="1"/>
    </xf>
    <xf numFmtId="0" fontId="9" fillId="0" borderId="0" xfId="0" applyFont="1" applyAlignment="1">
      <alignment vertical="top" wrapText="1"/>
    </xf>
    <xf numFmtId="0" fontId="10" fillId="0" borderId="2" xfId="0" applyFont="1" applyBorder="1" applyAlignment="1">
      <alignment vertical="top"/>
    </xf>
    <xf numFmtId="164" fontId="11" fillId="0" borderId="2" xfId="0" applyNumberFormat="1" applyFont="1" applyBorder="1" applyAlignment="1">
      <alignment vertical="top"/>
    </xf>
    <xf numFmtId="164" fontId="10" fillId="0" borderId="1" xfId="0" applyNumberFormat="1" applyFont="1" applyBorder="1" applyAlignment="1">
      <alignment vertical="top" wrapText="1"/>
    </xf>
    <xf numFmtId="164" fontId="8" fillId="0" borderId="1" xfId="0" applyNumberFormat="1" applyFont="1" applyBorder="1" applyAlignment="1">
      <alignment vertical="top" wrapText="1"/>
    </xf>
    <xf numFmtId="3" fontId="10" fillId="0" borderId="0" xfId="0" applyNumberFormat="1" applyFont="1" applyBorder="1" applyAlignment="1">
      <alignment vertical="top" wrapText="1"/>
    </xf>
    <xf numFmtId="164" fontId="13" fillId="0" borderId="1" xfId="0" applyNumberFormat="1" applyFont="1" applyBorder="1" applyAlignment="1">
      <alignment vertical="top" wrapText="1"/>
    </xf>
    <xf numFmtId="3" fontId="8" fillId="0" borderId="0" xfId="0" applyNumberFormat="1" applyFont="1" applyBorder="1" applyAlignment="1">
      <alignment vertical="top" wrapText="1"/>
    </xf>
    <xf numFmtId="0" fontId="11" fillId="0" borderId="1" xfId="0" applyFont="1" applyBorder="1" applyAlignment="1">
      <alignment vertical="top" wrapText="1"/>
    </xf>
    <xf numFmtId="10" fontId="10" fillId="0" borderId="0" xfId="0" applyNumberFormat="1" applyFont="1"/>
    <xf numFmtId="0" fontId="8" fillId="0" borderId="5" xfId="0" applyFont="1" applyBorder="1" applyAlignment="1">
      <alignment vertical="top"/>
    </xf>
    <xf numFmtId="4" fontId="10" fillId="0" borderId="0" xfId="0" applyNumberFormat="1" applyFont="1" applyBorder="1" applyAlignment="1">
      <alignment vertical="top" wrapText="1"/>
    </xf>
    <xf numFmtId="4" fontId="10" fillId="0" borderId="0" xfId="0" applyNumberFormat="1" applyFont="1"/>
    <xf numFmtId="4" fontId="8" fillId="0" borderId="0" xfId="0" applyNumberFormat="1" applyFont="1"/>
    <xf numFmtId="4" fontId="11" fillId="0" borderId="1" xfId="0" applyNumberFormat="1" applyFont="1" applyBorder="1" applyAlignment="1">
      <alignment vertical="top"/>
    </xf>
    <xf numFmtId="4" fontId="10" fillId="0" borderId="1" xfId="0" applyNumberFormat="1" applyFont="1" applyBorder="1" applyAlignment="1">
      <alignment vertical="top"/>
    </xf>
    <xf numFmtId="4" fontId="10" fillId="0" borderId="2" xfId="0" applyNumberFormat="1" applyFont="1" applyBorder="1" applyAlignment="1">
      <alignment vertical="top"/>
    </xf>
    <xf numFmtId="4" fontId="8" fillId="0" borderId="1" xfId="0" applyNumberFormat="1" applyFont="1" applyBorder="1" applyAlignment="1">
      <alignment vertical="top"/>
    </xf>
    <xf numFmtId="14" fontId="10" fillId="0" borderId="0" xfId="0" applyNumberFormat="1" applyFont="1" applyAlignment="1">
      <alignment horizontal="left" vertical="top" wrapText="1"/>
    </xf>
    <xf numFmtId="14" fontId="10" fillId="0" borderId="0" xfId="0" applyNumberFormat="1" applyFont="1" applyBorder="1" applyAlignment="1">
      <alignment horizontal="left" vertical="top" wrapText="1"/>
    </xf>
    <xf numFmtId="0" fontId="10" fillId="0" borderId="0" xfId="0" applyFont="1" applyBorder="1" applyAlignment="1">
      <alignment horizontal="left" vertical="top"/>
    </xf>
    <xf numFmtId="14" fontId="10" fillId="0" borderId="0" xfId="0" applyNumberFormat="1" applyFont="1" applyBorder="1" applyAlignment="1">
      <alignment horizontal="left" vertical="top"/>
    </xf>
    <xf numFmtId="0" fontId="10" fillId="0" borderId="1" xfId="0" applyNumberFormat="1" applyFont="1" applyBorder="1" applyAlignment="1">
      <alignment vertical="top" wrapText="1"/>
    </xf>
    <xf numFmtId="0" fontId="11" fillId="0" borderId="1" xfId="0" applyFont="1" applyBorder="1" applyAlignment="1">
      <alignment horizontal="left" wrapText="1"/>
    </xf>
    <xf numFmtId="3" fontId="8" fillId="0" borderId="1" xfId="0" applyNumberFormat="1" applyFont="1" applyBorder="1" applyAlignment="1">
      <alignment wrapText="1"/>
    </xf>
    <xf numFmtId="4" fontId="8" fillId="0" borderId="1" xfId="0" applyNumberFormat="1" applyFont="1" applyBorder="1" applyAlignment="1">
      <alignment wrapText="1"/>
    </xf>
    <xf numFmtId="0" fontId="10" fillId="0" borderId="2" xfId="0" applyFont="1" applyBorder="1" applyAlignment="1">
      <alignment horizontal="center" vertical="top" wrapText="1"/>
    </xf>
    <xf numFmtId="4" fontId="14" fillId="0" borderId="0" xfId="0" applyNumberFormat="1" applyFont="1" applyBorder="1" applyAlignment="1">
      <alignment horizontal="left" vertical="top"/>
    </xf>
    <xf numFmtId="3" fontId="8" fillId="0" borderId="0" xfId="0" applyNumberFormat="1" applyFont="1" applyAlignment="1">
      <alignment vertical="top"/>
    </xf>
    <xf numFmtId="3" fontId="9" fillId="0" borderId="0" xfId="0" applyNumberFormat="1" applyFont="1" applyAlignment="1">
      <alignment vertical="top" wrapText="1"/>
    </xf>
    <xf numFmtId="0" fontId="5" fillId="0" borderId="0" xfId="0" applyFont="1" applyAlignment="1">
      <alignment vertical="top" wrapText="1"/>
    </xf>
    <xf numFmtId="4" fontId="8" fillId="0" borderId="0" xfId="0" applyNumberFormat="1" applyFont="1" applyBorder="1" applyAlignment="1">
      <alignment vertical="top" wrapText="1"/>
    </xf>
    <xf numFmtId="4" fontId="3" fillId="0" borderId="0" xfId="0" applyNumberFormat="1" applyFont="1" applyBorder="1" applyAlignment="1">
      <alignment vertical="top" wrapText="1"/>
    </xf>
    <xf numFmtId="4" fontId="5" fillId="0" borderId="0" xfId="0" applyNumberFormat="1" applyFont="1" applyAlignment="1">
      <alignment vertical="top" wrapText="1"/>
    </xf>
    <xf numFmtId="0" fontId="19" fillId="0" borderId="0" xfId="0" applyFont="1" applyAlignment="1">
      <alignment horizontal="left"/>
    </xf>
    <xf numFmtId="0" fontId="0" fillId="0" borderId="0" xfId="0" applyAlignment="1">
      <alignment horizontal="left"/>
    </xf>
    <xf numFmtId="4" fontId="5" fillId="0" borderId="0" xfId="0" applyNumberFormat="1" applyFont="1" applyBorder="1" applyAlignment="1">
      <alignment vertical="top" wrapText="1"/>
    </xf>
    <xf numFmtId="0" fontId="5" fillId="0" borderId="0" xfId="0" applyFont="1" applyBorder="1" applyAlignment="1">
      <alignment vertical="top" wrapText="1"/>
    </xf>
    <xf numFmtId="164" fontId="10" fillId="0" borderId="2" xfId="0" applyNumberFormat="1" applyFont="1" applyBorder="1" applyAlignment="1">
      <alignment vertical="top"/>
    </xf>
    <xf numFmtId="3" fontId="0" fillId="0" borderId="0" xfId="0" applyNumberFormat="1" applyAlignment="1">
      <alignment vertical="top" wrapText="1"/>
    </xf>
    <xf numFmtId="3" fontId="5" fillId="0" borderId="0" xfId="0" applyNumberFormat="1" applyFont="1" applyAlignment="1">
      <alignment vertical="top"/>
    </xf>
    <xf numFmtId="4" fontId="10" fillId="0" borderId="1" xfId="0" applyNumberFormat="1" applyFont="1" applyBorder="1" applyAlignment="1">
      <alignment vertical="top" wrapText="1"/>
    </xf>
    <xf numFmtId="4" fontId="10" fillId="0" borderId="1" xfId="0" applyNumberFormat="1" applyFont="1" applyBorder="1" applyAlignment="1" applyProtection="1">
      <alignment vertical="top" wrapText="1"/>
      <protection locked="0"/>
    </xf>
    <xf numFmtId="4" fontId="8" fillId="0" borderId="1" xfId="0" applyNumberFormat="1" applyFont="1" applyBorder="1" applyAlignment="1">
      <alignment vertical="top" wrapText="1"/>
    </xf>
    <xf numFmtId="4" fontId="13" fillId="0" borderId="1" xfId="0" applyNumberFormat="1" applyFont="1" applyBorder="1" applyAlignment="1">
      <alignment vertical="top" wrapText="1"/>
    </xf>
    <xf numFmtId="4" fontId="8" fillId="0" borderId="1" xfId="0" applyNumberFormat="1" applyFont="1" applyBorder="1" applyAlignment="1" applyProtection="1">
      <alignment vertical="top" wrapText="1"/>
      <protection locked="0"/>
    </xf>
    <xf numFmtId="0" fontId="16" fillId="0" borderId="0" xfId="0" applyFont="1" applyBorder="1" applyAlignment="1">
      <alignment vertical="top" wrapText="1"/>
    </xf>
    <xf numFmtId="4" fontId="14" fillId="0" borderId="0" xfId="0" applyNumberFormat="1" applyFont="1" applyBorder="1" applyAlignment="1">
      <alignment horizontal="right" vertical="top"/>
    </xf>
    <xf numFmtId="164" fontId="13" fillId="0" borderId="1" xfId="0" applyNumberFormat="1" applyFont="1" applyBorder="1" applyAlignment="1">
      <alignment vertical="top"/>
    </xf>
    <xf numFmtId="0" fontId="14" fillId="0" borderId="1" xfId="0" applyFont="1" applyBorder="1" applyAlignment="1">
      <alignment horizontal="center" vertical="top" wrapText="1"/>
    </xf>
    <xf numFmtId="0" fontId="10" fillId="0" borderId="2" xfId="0" applyFont="1" applyBorder="1" applyAlignment="1">
      <alignment vertical="justify" wrapText="1"/>
    </xf>
    <xf numFmtId="4" fontId="0" fillId="0" borderId="0" xfId="0" applyNumberFormat="1" applyAlignment="1">
      <alignment vertical="top" wrapText="1"/>
    </xf>
    <xf numFmtId="4" fontId="14" fillId="0" borderId="6" xfId="0" applyNumberFormat="1" applyFont="1" applyBorder="1" applyAlignment="1">
      <alignment horizontal="left" vertical="top"/>
    </xf>
    <xf numFmtId="4" fontId="5" fillId="0" borderId="0" xfId="0" applyNumberFormat="1" applyFont="1" applyAlignment="1">
      <alignment vertical="top"/>
    </xf>
    <xf numFmtId="0" fontId="1" fillId="0" borderId="0" xfId="0" applyFont="1" applyAlignment="1">
      <alignment vertical="top"/>
    </xf>
    <xf numFmtId="0" fontId="14" fillId="0" borderId="0" xfId="0" applyFont="1" applyAlignment="1">
      <alignment vertical="top"/>
    </xf>
    <xf numFmtId="0" fontId="14" fillId="0" borderId="1" xfId="0" applyFont="1" applyBorder="1" applyAlignment="1">
      <alignment vertical="top"/>
    </xf>
    <xf numFmtId="3" fontId="14" fillId="0" borderId="1" xfId="0" applyNumberFormat="1" applyFont="1" applyBorder="1" applyAlignment="1">
      <alignment vertical="top"/>
    </xf>
    <xf numFmtId="3" fontId="14" fillId="0" borderId="0" xfId="0" applyNumberFormat="1" applyFont="1" applyAlignment="1">
      <alignment vertical="top"/>
    </xf>
    <xf numFmtId="4" fontId="14" fillId="0" borderId="0" xfId="0" applyNumberFormat="1" applyFont="1" applyAlignment="1">
      <alignment vertical="top"/>
    </xf>
    <xf numFmtId="4" fontId="14" fillId="0" borderId="1" xfId="0" applyNumberFormat="1" applyFont="1" applyBorder="1" applyAlignment="1">
      <alignment vertical="top"/>
    </xf>
    <xf numFmtId="4" fontId="14" fillId="0" borderId="0" xfId="0" applyNumberFormat="1" applyFont="1" applyBorder="1" applyAlignment="1">
      <alignment vertical="top"/>
    </xf>
    <xf numFmtId="0" fontId="14" fillId="0" borderId="0" xfId="0" applyFont="1" applyBorder="1" applyAlignment="1">
      <alignment vertical="top"/>
    </xf>
    <xf numFmtId="4" fontId="3" fillId="0" borderId="0" xfId="0" applyNumberFormat="1" applyFont="1" applyBorder="1" applyAlignment="1">
      <alignment vertical="top"/>
    </xf>
    <xf numFmtId="4" fontId="2" fillId="0" borderId="0" xfId="0" applyNumberFormat="1" applyFont="1" applyBorder="1" applyAlignment="1">
      <alignment vertical="top"/>
    </xf>
    <xf numFmtId="0" fontId="3" fillId="0" borderId="7" xfId="0" applyFont="1" applyBorder="1" applyAlignment="1">
      <alignment vertical="top"/>
    </xf>
    <xf numFmtId="4" fontId="3" fillId="0" borderId="7" xfId="0" applyNumberFormat="1" applyFont="1" applyBorder="1" applyAlignment="1">
      <alignment vertical="top"/>
    </xf>
    <xf numFmtId="14" fontId="10" fillId="0" borderId="6" xfId="0" applyNumberFormat="1" applyFont="1" applyBorder="1" applyAlignment="1">
      <alignment horizontal="right" vertical="top"/>
    </xf>
    <xf numFmtId="14" fontId="10" fillId="0" borderId="0" xfId="0" applyNumberFormat="1" applyFont="1" applyBorder="1" applyAlignment="1">
      <alignment horizontal="right" vertical="top"/>
    </xf>
    <xf numFmtId="164" fontId="7" fillId="0" borderId="0" xfId="0" applyNumberFormat="1" applyFont="1" applyBorder="1" applyAlignment="1">
      <alignment vertical="top"/>
    </xf>
    <xf numFmtId="0" fontId="10" fillId="0" borderId="0" xfId="0" applyFont="1" applyBorder="1" applyAlignment="1">
      <alignment horizontal="right" vertical="top" wrapText="1"/>
    </xf>
    <xf numFmtId="0" fontId="0" fillId="0" borderId="0" xfId="0" applyAlignment="1">
      <alignment horizontal="right"/>
    </xf>
    <xf numFmtId="4" fontId="0" fillId="0" borderId="0" xfId="0" applyNumberFormat="1" applyAlignment="1">
      <alignment horizontal="left"/>
    </xf>
    <xf numFmtId="4" fontId="10" fillId="0" borderId="8" xfId="0" applyNumberFormat="1" applyFont="1" applyBorder="1" applyAlignment="1">
      <alignment vertical="top"/>
    </xf>
    <xf numFmtId="0" fontId="10" fillId="0" borderId="9" xfId="0" applyFont="1" applyBorder="1" applyAlignment="1">
      <alignment horizontal="center" vertical="top" wrapText="1"/>
    </xf>
    <xf numFmtId="0" fontId="10" fillId="0" borderId="10" xfId="0" applyFont="1" applyBorder="1" applyAlignment="1">
      <alignment horizontal="center" vertical="top" wrapText="1"/>
    </xf>
    <xf numFmtId="0" fontId="10" fillId="0" borderId="11" xfId="0" applyFont="1" applyBorder="1" applyAlignment="1">
      <alignment horizontal="center" vertical="top" wrapText="1"/>
    </xf>
    <xf numFmtId="0" fontId="10" fillId="0" borderId="7" xfId="0" applyFont="1" applyBorder="1" applyAlignment="1">
      <alignment horizontal="left" vertical="top" wrapText="1"/>
    </xf>
    <xf numFmtId="0" fontId="10" fillId="0" borderId="3" xfId="0" applyFont="1" applyBorder="1" applyAlignment="1" applyProtection="1">
      <alignment vertical="top" wrapText="1"/>
      <protection locked="0"/>
    </xf>
    <xf numFmtId="0" fontId="10" fillId="0" borderId="3" xfId="0" applyFont="1" applyBorder="1" applyAlignment="1">
      <alignment horizontal="left" vertical="top" wrapText="1"/>
    </xf>
    <xf numFmtId="0" fontId="11" fillId="0" borderId="3" xfId="0" applyFont="1" applyBorder="1" applyAlignment="1">
      <alignment horizontal="left" wrapText="1"/>
    </xf>
    <xf numFmtId="0" fontId="12" fillId="0" borderId="1" xfId="0" applyFont="1" applyBorder="1" applyAlignment="1">
      <alignment horizontal="center"/>
    </xf>
    <xf numFmtId="4" fontId="10" fillId="0" borderId="2" xfId="0" applyNumberFormat="1" applyFont="1" applyBorder="1" applyAlignment="1">
      <alignment horizontal="center" vertical="top" wrapText="1"/>
    </xf>
    <xf numFmtId="0" fontId="10" fillId="0" borderId="2" xfId="0" applyFont="1" applyBorder="1" applyAlignment="1">
      <alignment horizontal="left" vertical="top" wrapText="1"/>
    </xf>
    <xf numFmtId="4" fontId="11" fillId="0" borderId="2" xfId="0" applyNumberFormat="1" applyFont="1" applyBorder="1" applyAlignment="1">
      <alignment vertical="top"/>
    </xf>
    <xf numFmtId="4" fontId="10" fillId="0" borderId="0" xfId="0" applyNumberFormat="1" applyFont="1" applyAlignment="1">
      <alignment vertical="top"/>
    </xf>
    <xf numFmtId="0" fontId="15" fillId="0" borderId="1" xfId="0" applyFont="1" applyBorder="1" applyAlignment="1">
      <alignment vertical="top"/>
    </xf>
    <xf numFmtId="0" fontId="8" fillId="0" borderId="4" xfId="0" applyFont="1" applyBorder="1" applyAlignment="1">
      <alignment vertical="top"/>
    </xf>
    <xf numFmtId="0" fontId="8" fillId="0" borderId="5" xfId="0" applyFont="1" applyBorder="1" applyAlignment="1">
      <alignment horizontal="left" vertical="top"/>
    </xf>
    <xf numFmtId="0" fontId="4" fillId="0" borderId="1" xfId="0" applyFont="1" applyBorder="1" applyAlignment="1">
      <alignment vertical="top" wrapText="1"/>
    </xf>
    <xf numFmtId="3" fontId="0" fillId="0" borderId="1" xfId="0" applyNumberFormat="1" applyFont="1" applyBorder="1" applyAlignment="1">
      <alignment vertical="top"/>
    </xf>
    <xf numFmtId="0" fontId="20" fillId="0" borderId="1" xfId="0" applyFont="1" applyBorder="1" applyAlignment="1">
      <alignment vertical="top"/>
    </xf>
    <xf numFmtId="0" fontId="24" fillId="0" borderId="1" xfId="0" applyFont="1" applyBorder="1" applyAlignment="1">
      <alignment horizontal="center" vertical="top" wrapText="1"/>
    </xf>
    <xf numFmtId="0" fontId="25" fillId="0" borderId="1" xfId="0" applyFont="1" applyBorder="1" applyAlignment="1">
      <alignment horizontal="center" vertical="top" wrapText="1"/>
    </xf>
    <xf numFmtId="0" fontId="10" fillId="0" borderId="4" xfId="0" applyFont="1" applyBorder="1" applyAlignment="1">
      <alignment horizontal="left"/>
    </xf>
    <xf numFmtId="0" fontId="8" fillId="0" borderId="1" xfId="0" applyFont="1" applyBorder="1" applyAlignment="1"/>
    <xf numFmtId="4" fontId="10" fillId="0" borderId="0" xfId="1" applyNumberFormat="1" applyFont="1" applyBorder="1" applyAlignment="1">
      <alignment vertical="top" wrapText="1"/>
    </xf>
    <xf numFmtId="0" fontId="10" fillId="0" borderId="6" xfId="0" applyFont="1" applyBorder="1" applyAlignment="1">
      <alignment vertical="top" wrapText="1"/>
    </xf>
    <xf numFmtId="0" fontId="15" fillId="0" borderId="0" xfId="0" applyFont="1" applyBorder="1" applyAlignment="1">
      <alignment vertical="top" wrapText="1"/>
    </xf>
    <xf numFmtId="3" fontId="8" fillId="0" borderId="12" xfId="0" applyNumberFormat="1" applyFont="1" applyBorder="1" applyAlignment="1">
      <alignment vertical="top" wrapText="1"/>
    </xf>
    <xf numFmtId="3" fontId="10" fillId="0" borderId="12" xfId="0" applyNumberFormat="1" applyFont="1" applyBorder="1" applyAlignment="1">
      <alignment vertical="top"/>
    </xf>
    <xf numFmtId="4" fontId="10" fillId="0" borderId="0" xfId="0" applyNumberFormat="1" applyFont="1" applyBorder="1" applyAlignment="1">
      <alignment vertical="top"/>
    </xf>
    <xf numFmtId="3" fontId="10" fillId="0" borderId="12" xfId="0" applyNumberFormat="1" applyFont="1" applyBorder="1" applyAlignment="1">
      <alignment vertical="top" wrapText="1"/>
    </xf>
    <xf numFmtId="3" fontId="10" fillId="0" borderId="12" xfId="0" applyNumberFormat="1" applyFont="1" applyBorder="1" applyAlignment="1">
      <alignment horizontal="right" vertical="top"/>
    </xf>
    <xf numFmtId="3" fontId="8" fillId="0" borderId="12" xfId="0" applyNumberFormat="1" applyFont="1" applyBorder="1" applyAlignment="1">
      <alignment vertical="top"/>
    </xf>
    <xf numFmtId="0" fontId="8" fillId="0" borderId="1" xfId="0" applyFont="1" applyBorder="1" applyAlignment="1">
      <alignment wrapText="1"/>
    </xf>
    <xf numFmtId="3" fontId="8" fillId="0" borderId="12" xfId="0" applyNumberFormat="1" applyFont="1" applyBorder="1" applyAlignment="1">
      <alignment wrapText="1"/>
    </xf>
    <xf numFmtId="0" fontId="8" fillId="0" borderId="0" xfId="0" applyFont="1" applyBorder="1" applyAlignment="1">
      <alignment wrapText="1"/>
    </xf>
    <xf numFmtId="4" fontId="11" fillId="0" borderId="1" xfId="0" applyNumberFormat="1" applyFont="1" applyBorder="1" applyAlignment="1">
      <alignment vertical="top" wrapText="1"/>
    </xf>
    <xf numFmtId="0" fontId="8" fillId="0" borderId="0" xfId="0" applyFont="1" applyBorder="1" applyAlignment="1">
      <alignment vertical="top"/>
    </xf>
    <xf numFmtId="3" fontId="8" fillId="0" borderId="0" xfId="0" applyNumberFormat="1" applyFont="1" applyBorder="1" applyAlignment="1">
      <alignment vertical="top"/>
    </xf>
    <xf numFmtId="0" fontId="10" fillId="0" borderId="0" xfId="0" applyFont="1" applyBorder="1" applyAlignment="1">
      <alignment vertical="top"/>
    </xf>
    <xf numFmtId="0" fontId="8" fillId="0" borderId="6" xfId="0" applyFont="1" applyBorder="1" applyAlignment="1">
      <alignment vertical="top"/>
    </xf>
    <xf numFmtId="3" fontId="24" fillId="0" borderId="1" xfId="0" applyNumberFormat="1" applyFont="1" applyBorder="1" applyAlignment="1">
      <alignment horizontal="center" vertical="top" wrapText="1"/>
    </xf>
    <xf numFmtId="0" fontId="0" fillId="0" borderId="1" xfId="0" applyFont="1" applyBorder="1" applyAlignment="1">
      <alignment vertical="top" wrapText="1"/>
    </xf>
    <xf numFmtId="0" fontId="9" fillId="0" borderId="0" xfId="0" applyFont="1" applyAlignment="1">
      <alignment vertical="top"/>
    </xf>
    <xf numFmtId="0" fontId="14" fillId="0" borderId="0" xfId="0" applyFont="1" applyAlignment="1">
      <alignment vertical="top" wrapText="1"/>
    </xf>
    <xf numFmtId="0" fontId="0" fillId="0" borderId="0" xfId="0" applyAlignment="1">
      <alignment vertical="top"/>
    </xf>
    <xf numFmtId="14" fontId="10" fillId="0" borderId="0" xfId="0" applyNumberFormat="1" applyFont="1" applyAlignment="1">
      <alignment horizontal="left" vertical="top"/>
    </xf>
    <xf numFmtId="0" fontId="10" fillId="0" borderId="5" xfId="0" applyFont="1" applyBorder="1" applyAlignment="1">
      <alignment horizontal="center" vertical="top" wrapText="1"/>
    </xf>
    <xf numFmtId="0" fontId="8" fillId="0" borderId="1" xfId="0" applyFont="1" applyBorder="1" applyAlignment="1">
      <alignment horizontal="left" vertical="top" wrapText="1"/>
    </xf>
    <xf numFmtId="0" fontId="27" fillId="0" borderId="0" xfId="0" applyFont="1" applyAlignment="1">
      <alignment vertical="top"/>
    </xf>
    <xf numFmtId="0" fontId="27" fillId="0" borderId="0" xfId="0" applyFont="1" applyBorder="1" applyAlignment="1">
      <alignment horizontal="center" vertical="top" wrapText="1"/>
    </xf>
    <xf numFmtId="0" fontId="27" fillId="0" borderId="1" xfId="0" applyFont="1" applyBorder="1" applyAlignment="1">
      <alignment horizontal="center" vertical="top" wrapText="1"/>
    </xf>
    <xf numFmtId="49" fontId="27" fillId="0" borderId="1" xfId="0" applyNumberFormat="1" applyFont="1" applyBorder="1" applyAlignment="1">
      <alignment horizontal="center" vertical="top" wrapText="1"/>
    </xf>
    <xf numFmtId="49" fontId="27" fillId="0" borderId="2" xfId="0" applyNumberFormat="1" applyFont="1" applyBorder="1" applyAlignment="1">
      <alignment horizontal="center" vertical="top" wrapText="1"/>
    </xf>
    <xf numFmtId="0" fontId="27" fillId="0" borderId="1" xfId="0" applyFont="1" applyBorder="1" applyAlignment="1">
      <alignment horizontal="left" vertical="top" wrapText="1"/>
    </xf>
    <xf numFmtId="4" fontId="27" fillId="0" borderId="1" xfId="0" applyNumberFormat="1" applyFont="1" applyBorder="1" applyAlignment="1">
      <alignment vertical="top" wrapText="1"/>
    </xf>
    <xf numFmtId="3" fontId="27" fillId="0" borderId="1" xfId="0" applyNumberFormat="1" applyFont="1" applyBorder="1" applyAlignment="1">
      <alignment vertical="top" wrapText="1"/>
    </xf>
    <xf numFmtId="164" fontId="27" fillId="0" borderId="1" xfId="0" applyNumberFormat="1" applyFont="1" applyBorder="1" applyAlignment="1">
      <alignment vertical="top" wrapText="1"/>
    </xf>
    <xf numFmtId="0" fontId="27" fillId="0" borderId="0" xfId="0" applyFont="1" applyBorder="1" applyAlignment="1">
      <alignment vertical="top" wrapText="1"/>
    </xf>
    <xf numFmtId="0" fontId="27" fillId="0" borderId="1" xfId="0" applyFont="1" applyBorder="1" applyAlignment="1">
      <alignment vertical="top" wrapText="1"/>
    </xf>
    <xf numFmtId="0" fontId="27" fillId="0" borderId="1" xfId="0" applyFont="1" applyBorder="1" applyAlignment="1" applyProtection="1">
      <alignment vertical="top" wrapText="1"/>
      <protection locked="0"/>
    </xf>
    <xf numFmtId="4" fontId="27" fillId="0" borderId="5" xfId="0" applyNumberFormat="1" applyFont="1" applyBorder="1" applyAlignment="1">
      <alignment vertical="top" wrapText="1"/>
    </xf>
    <xf numFmtId="3" fontId="27" fillId="0" borderId="5" xfId="0" applyNumberFormat="1" applyFont="1" applyBorder="1" applyAlignment="1">
      <alignment vertical="top" wrapText="1"/>
    </xf>
    <xf numFmtId="3" fontId="27" fillId="0" borderId="0" xfId="0" applyNumberFormat="1" applyFont="1" applyAlignment="1">
      <alignment vertical="top"/>
    </xf>
    <xf numFmtId="0" fontId="27" fillId="0" borderId="1" xfId="0" quotePrefix="1" applyFont="1" applyBorder="1" applyAlignment="1" applyProtection="1">
      <alignment vertical="top" wrapText="1"/>
      <protection locked="0"/>
    </xf>
    <xf numFmtId="4" fontId="27" fillId="0" borderId="5" xfId="0" applyNumberFormat="1" applyFont="1" applyBorder="1" applyAlignment="1" applyProtection="1">
      <alignment vertical="top" wrapText="1"/>
      <protection locked="0"/>
    </xf>
    <xf numFmtId="3" fontId="27" fillId="0" borderId="5" xfId="0" applyNumberFormat="1" applyFont="1" applyBorder="1" applyAlignment="1" applyProtection="1">
      <alignment vertical="top" wrapText="1"/>
      <protection locked="0"/>
    </xf>
    <xf numFmtId="4" fontId="27" fillId="0" borderId="1" xfId="0" applyNumberFormat="1" applyFont="1" applyBorder="1" applyAlignment="1" applyProtection="1">
      <alignment vertical="top" wrapText="1"/>
      <protection locked="0"/>
    </xf>
    <xf numFmtId="3" fontId="27" fillId="0" borderId="1" xfId="0" applyNumberFormat="1" applyFont="1" applyBorder="1" applyAlignment="1" applyProtection="1">
      <alignment vertical="top" wrapText="1"/>
      <protection locked="0"/>
    </xf>
    <xf numFmtId="0" fontId="27" fillId="0" borderId="1" xfId="0" applyFont="1" applyBorder="1" applyAlignment="1">
      <alignment vertical="justify" wrapText="1"/>
    </xf>
    <xf numFmtId="4" fontId="27" fillId="0" borderId="0" xfId="0" applyNumberFormat="1" applyFont="1" applyBorder="1" applyAlignment="1">
      <alignment vertical="top" wrapText="1"/>
    </xf>
    <xf numFmtId="0" fontId="27" fillId="0" borderId="1" xfId="0" applyFont="1" applyBorder="1" applyAlignment="1" applyProtection="1">
      <alignment vertical="top"/>
      <protection locked="0"/>
    </xf>
    <xf numFmtId="0" fontId="26" fillId="0" borderId="1" xfId="0" applyFont="1" applyBorder="1" applyAlignment="1">
      <alignment vertical="top" wrapText="1"/>
    </xf>
    <xf numFmtId="4" fontId="26" fillId="0" borderId="5" xfId="0" applyNumberFormat="1" applyFont="1" applyBorder="1" applyAlignment="1" applyProtection="1">
      <alignment vertical="top" wrapText="1"/>
      <protection locked="0"/>
    </xf>
    <xf numFmtId="3" fontId="26" fillId="0" borderId="5" xfId="0" applyNumberFormat="1" applyFont="1" applyBorder="1" applyAlignment="1" applyProtection="1">
      <alignment vertical="top" wrapText="1"/>
      <protection locked="0"/>
    </xf>
    <xf numFmtId="164" fontId="26" fillId="0" borderId="1" xfId="0" applyNumberFormat="1" applyFont="1" applyBorder="1" applyAlignment="1">
      <alignment vertical="top" wrapText="1"/>
    </xf>
    <xf numFmtId="4" fontId="26" fillId="0" borderId="1" xfId="0" applyNumberFormat="1" applyFont="1" applyBorder="1" applyAlignment="1">
      <alignment vertical="top" wrapText="1"/>
    </xf>
    <xf numFmtId="0" fontId="27" fillId="0" borderId="5" xfId="0" applyFont="1" applyBorder="1" applyAlignment="1">
      <alignment vertical="top" wrapText="1"/>
    </xf>
    <xf numFmtId="0" fontId="29" fillId="0" borderId="1" xfId="0" applyFont="1" applyBorder="1" applyAlignment="1">
      <alignment vertical="top" wrapText="1"/>
    </xf>
    <xf numFmtId="0" fontId="29" fillId="0" borderId="1" xfId="0" applyNumberFormat="1" applyFont="1" applyBorder="1" applyAlignment="1">
      <alignment vertical="top" wrapText="1"/>
    </xf>
    <xf numFmtId="3" fontId="29" fillId="0" borderId="1" xfId="0" applyNumberFormat="1" applyFont="1" applyBorder="1" applyAlignment="1" applyProtection="1">
      <alignment vertical="top" wrapText="1"/>
      <protection locked="0"/>
    </xf>
    <xf numFmtId="164" fontId="29" fillId="0" borderId="1" xfId="0" applyNumberFormat="1" applyFont="1" applyBorder="1" applyAlignment="1">
      <alignment vertical="top"/>
    </xf>
    <xf numFmtId="0" fontId="30" fillId="0" borderId="1" xfId="0" applyFont="1" applyBorder="1" applyAlignment="1">
      <alignment vertical="top"/>
    </xf>
    <xf numFmtId="0" fontId="30" fillId="0" borderId="1" xfId="0" applyFont="1" applyBorder="1" applyAlignment="1">
      <alignment vertical="justify" wrapText="1"/>
    </xf>
    <xf numFmtId="4" fontId="27" fillId="0" borderId="0" xfId="0" applyNumberFormat="1" applyFont="1" applyAlignment="1">
      <alignment vertical="top"/>
    </xf>
    <xf numFmtId="0" fontId="27" fillId="0" borderId="4" xfId="0" applyFont="1" applyBorder="1" applyAlignment="1">
      <alignment vertical="top" wrapText="1"/>
    </xf>
    <xf numFmtId="3" fontId="26" fillId="0" borderId="1" xfId="0" applyNumberFormat="1" applyFont="1" applyBorder="1" applyAlignment="1">
      <alignment vertical="top" wrapText="1"/>
    </xf>
    <xf numFmtId="0" fontId="31" fillId="0" borderId="1" xfId="0" applyFont="1" applyBorder="1" applyAlignment="1">
      <alignment horizontal="center" vertical="top" wrapText="1"/>
    </xf>
    <xf numFmtId="0" fontId="27" fillId="0" borderId="1" xfId="0" applyFont="1" applyBorder="1" applyAlignment="1">
      <alignment vertical="top"/>
    </xf>
    <xf numFmtId="4" fontId="26" fillId="0" borderId="1" xfId="0" applyNumberFormat="1" applyFont="1" applyBorder="1" applyAlignment="1">
      <alignment wrapText="1"/>
    </xf>
    <xf numFmtId="4" fontId="27" fillId="0" borderId="1" xfId="0" applyNumberFormat="1" applyFont="1" applyBorder="1" applyAlignment="1">
      <alignment vertical="top"/>
    </xf>
    <xf numFmtId="3" fontId="27" fillId="0" borderId="1" xfId="0" applyNumberFormat="1" applyFont="1" applyBorder="1" applyAlignment="1">
      <alignment vertical="top"/>
    </xf>
    <xf numFmtId="164" fontId="27" fillId="0" borderId="1" xfId="0" applyNumberFormat="1" applyFont="1" applyBorder="1" applyAlignment="1">
      <alignment vertical="top"/>
    </xf>
    <xf numFmtId="0" fontId="27" fillId="0" borderId="2" xfId="0" applyFont="1" applyBorder="1" applyAlignment="1">
      <alignment vertical="justify" wrapText="1"/>
    </xf>
    <xf numFmtId="4" fontId="26" fillId="0" borderId="1" xfId="0" applyNumberFormat="1" applyFont="1" applyBorder="1" applyAlignment="1">
      <alignment vertical="top"/>
    </xf>
    <xf numFmtId="164" fontId="26" fillId="0" borderId="1" xfId="0" applyNumberFormat="1" applyFont="1" applyBorder="1" applyAlignment="1">
      <alignment vertical="top"/>
    </xf>
    <xf numFmtId="4" fontId="34" fillId="0" borderId="1" xfId="0" applyNumberFormat="1" applyFont="1" applyBorder="1" applyAlignment="1">
      <alignment vertical="top" wrapText="1"/>
    </xf>
    <xf numFmtId="4" fontId="26" fillId="0" borderId="1" xfId="0" applyNumberFormat="1" applyFont="1" applyBorder="1" applyAlignment="1" applyProtection="1">
      <alignment vertical="top" wrapText="1"/>
      <protection locked="0"/>
    </xf>
    <xf numFmtId="3" fontId="26" fillId="0" borderId="1" xfId="0" applyNumberFormat="1" applyFont="1" applyBorder="1" applyAlignment="1" applyProtection="1">
      <alignment vertical="top" wrapText="1"/>
      <protection locked="0"/>
    </xf>
    <xf numFmtId="0" fontId="26" fillId="0" borderId="0" xfId="0" applyFont="1" applyAlignment="1">
      <alignment vertical="top"/>
    </xf>
    <xf numFmtId="0" fontId="26" fillId="0" borderId="0" xfId="0" applyFont="1" applyBorder="1" applyAlignment="1">
      <alignment vertical="top" wrapText="1"/>
    </xf>
    <xf numFmtId="0" fontId="28" fillId="0" borderId="1" xfId="0" applyFont="1" applyBorder="1" applyAlignment="1">
      <alignment vertical="top" wrapText="1"/>
    </xf>
    <xf numFmtId="0" fontId="27" fillId="0" borderId="7" xfId="0" applyFont="1" applyBorder="1" applyAlignment="1">
      <alignment horizontal="left" vertical="top" wrapText="1"/>
    </xf>
    <xf numFmtId="0" fontId="27" fillId="0" borderId="4" xfId="0" applyFont="1" applyBorder="1" applyAlignment="1">
      <alignment horizontal="left" vertical="top" wrapText="1"/>
    </xf>
    <xf numFmtId="0" fontId="27" fillId="0" borderId="3" xfId="0" applyFont="1" applyBorder="1" applyAlignment="1" applyProtection="1">
      <alignment vertical="top" wrapText="1"/>
      <protection locked="0"/>
    </xf>
    <xf numFmtId="164" fontId="26" fillId="0" borderId="1" xfId="1" applyNumberFormat="1" applyFont="1" applyBorder="1" applyAlignment="1">
      <alignment vertical="top" wrapText="1"/>
    </xf>
    <xf numFmtId="164" fontId="34" fillId="0" borderId="1" xfId="0" applyNumberFormat="1" applyFont="1" applyBorder="1" applyAlignment="1">
      <alignment vertical="top" wrapText="1"/>
    </xf>
    <xf numFmtId="0" fontId="35" fillId="0" borderId="0" xfId="0" applyFont="1" applyAlignment="1">
      <alignment vertical="top" wrapText="1"/>
    </xf>
    <xf numFmtId="4" fontId="35" fillId="0" borderId="0" xfId="0" applyNumberFormat="1" applyFont="1" applyAlignment="1">
      <alignment vertical="top" wrapText="1"/>
    </xf>
    <xf numFmtId="4" fontId="26" fillId="0" borderId="0" xfId="0" applyNumberFormat="1" applyFont="1" applyBorder="1" applyAlignment="1">
      <alignment vertical="top" wrapText="1"/>
    </xf>
    <xf numFmtId="4" fontId="33" fillId="0" borderId="0" xfId="0" applyNumberFormat="1" applyFont="1" applyBorder="1" applyAlignment="1">
      <alignment vertical="top" wrapText="1"/>
    </xf>
    <xf numFmtId="0" fontId="28" fillId="0" borderId="0" xfId="0" applyFont="1"/>
    <xf numFmtId="4" fontId="8" fillId="0" borderId="0" xfId="0" applyNumberFormat="1" applyFont="1" applyAlignment="1">
      <alignment vertical="top"/>
    </xf>
    <xf numFmtId="0" fontId="38" fillId="0" borderId="0" xfId="0" applyFont="1" applyAlignment="1">
      <alignment vertical="top"/>
    </xf>
    <xf numFmtId="0" fontId="39" fillId="0" borderId="0" xfId="0" applyFont="1" applyAlignment="1">
      <alignment horizontal="left" vertical="top" wrapText="1"/>
    </xf>
    <xf numFmtId="0" fontId="40" fillId="0" borderId="1" xfId="0" applyFont="1" applyBorder="1" applyAlignment="1">
      <alignment vertical="top"/>
    </xf>
    <xf numFmtId="0" fontId="41" fillId="0" borderId="1" xfId="0" applyFont="1" applyBorder="1" applyAlignment="1">
      <alignment horizontal="center" vertical="top" wrapText="1"/>
    </xf>
    <xf numFmtId="0" fontId="42" fillId="0" borderId="1" xfId="0" applyFont="1" applyBorder="1" applyAlignment="1">
      <alignment horizontal="center" vertical="top" wrapText="1"/>
    </xf>
    <xf numFmtId="0" fontId="38" fillId="0" borderId="1" xfId="0" applyFont="1" applyBorder="1" applyAlignment="1">
      <alignment vertical="top"/>
    </xf>
    <xf numFmtId="3" fontId="38" fillId="0" borderId="1" xfId="0" applyNumberFormat="1" applyFont="1" applyBorder="1" applyAlignment="1">
      <alignment vertical="top"/>
    </xf>
    <xf numFmtId="4" fontId="40" fillId="0" borderId="1" xfId="0" applyNumberFormat="1" applyFont="1" applyBorder="1" applyAlignment="1">
      <alignment vertical="top"/>
    </xf>
    <xf numFmtId="3" fontId="38" fillId="0" borderId="0" xfId="0" applyNumberFormat="1" applyFont="1" applyAlignment="1">
      <alignment vertical="top"/>
    </xf>
    <xf numFmtId="0" fontId="38" fillId="0" borderId="1" xfId="0" applyFont="1" applyBorder="1" applyAlignment="1">
      <alignment vertical="top" wrapText="1"/>
    </xf>
    <xf numFmtId="0" fontId="40" fillId="0" borderId="0" xfId="0" applyFont="1" applyAlignment="1">
      <alignment vertical="top"/>
    </xf>
    <xf numFmtId="3" fontId="40" fillId="0" borderId="1" xfId="0" applyNumberFormat="1" applyFont="1" applyBorder="1" applyAlignment="1">
      <alignment vertical="top"/>
    </xf>
    <xf numFmtId="4" fontId="40" fillId="0" borderId="0" xfId="0" applyNumberFormat="1" applyFont="1" applyAlignment="1">
      <alignment vertical="top"/>
    </xf>
    <xf numFmtId="0" fontId="43" fillId="0" borderId="1" xfId="0" applyFont="1" applyBorder="1" applyAlignment="1">
      <alignment vertical="top"/>
    </xf>
    <xf numFmtId="0" fontId="44" fillId="0" borderId="1" xfId="0" applyFont="1" applyBorder="1" applyAlignment="1">
      <alignment vertical="top" wrapText="1"/>
    </xf>
    <xf numFmtId="4" fontId="40" fillId="0" borderId="0" xfId="0" applyNumberFormat="1" applyFont="1" applyBorder="1" applyAlignment="1">
      <alignment vertical="top"/>
    </xf>
    <xf numFmtId="3" fontId="40" fillId="0" borderId="0" xfId="0" applyNumberFormat="1" applyFont="1" applyBorder="1" applyAlignment="1">
      <alignment vertical="top"/>
    </xf>
    <xf numFmtId="0" fontId="40" fillId="0" borderId="0" xfId="0" applyFont="1" applyBorder="1" applyAlignment="1">
      <alignment vertical="top"/>
    </xf>
    <xf numFmtId="3" fontId="40" fillId="0" borderId="0" xfId="0" applyNumberFormat="1" applyFont="1" applyAlignment="1">
      <alignment vertical="top"/>
    </xf>
    <xf numFmtId="0" fontId="40" fillId="0" borderId="0" xfId="0" applyFont="1" applyAlignment="1">
      <alignment vertical="top" wrapText="1"/>
    </xf>
    <xf numFmtId="4" fontId="38" fillId="0" borderId="0" xfId="0" applyNumberFormat="1" applyFont="1" applyAlignment="1">
      <alignment vertical="top"/>
    </xf>
    <xf numFmtId="0" fontId="40" fillId="0" borderId="0" xfId="0" applyFont="1" applyBorder="1" applyAlignment="1">
      <alignment vertical="top" wrapText="1"/>
    </xf>
    <xf numFmtId="3" fontId="47" fillId="0" borderId="0" xfId="0" applyNumberFormat="1" applyFont="1"/>
    <xf numFmtId="0" fontId="47" fillId="0" borderId="0" xfId="0" applyFont="1"/>
    <xf numFmtId="0" fontId="45" fillId="0" borderId="1" xfId="0" applyFont="1" applyBorder="1" applyAlignment="1">
      <alignment horizontal="center" vertical="top" wrapText="1"/>
    </xf>
    <xf numFmtId="49" fontId="47" fillId="0" borderId="2" xfId="0" applyNumberFormat="1" applyFont="1" applyBorder="1" applyAlignment="1">
      <alignment horizontal="center" vertical="top" wrapText="1"/>
    </xf>
    <xf numFmtId="0" fontId="48" fillId="0" borderId="3" xfId="0" applyFont="1" applyBorder="1" applyAlignment="1">
      <alignment vertical="top"/>
    </xf>
    <xf numFmtId="0" fontId="48" fillId="0" borderId="1" xfId="0" applyFont="1" applyBorder="1" applyAlignment="1">
      <alignment vertical="justify" wrapText="1"/>
    </xf>
    <xf numFmtId="4" fontId="48" fillId="0" borderId="1" xfId="0" applyNumberFormat="1" applyFont="1" applyBorder="1" applyAlignment="1">
      <alignment vertical="top"/>
    </xf>
    <xf numFmtId="164" fontId="48" fillId="0" borderId="1" xfId="0" applyNumberFormat="1" applyFont="1" applyBorder="1" applyAlignment="1">
      <alignment vertical="top"/>
    </xf>
    <xf numFmtId="0" fontId="46" fillId="0" borderId="3" xfId="0" applyFont="1" applyBorder="1" applyAlignment="1">
      <alignment horizontal="center"/>
    </xf>
    <xf numFmtId="0" fontId="47" fillId="0" borderId="1" xfId="0" applyFont="1" applyBorder="1" applyAlignment="1">
      <alignment vertical="justify" wrapText="1"/>
    </xf>
    <xf numFmtId="4" fontId="47" fillId="0" borderId="1" xfId="0" applyNumberFormat="1" applyFont="1" applyBorder="1" applyAlignment="1">
      <alignment vertical="top"/>
    </xf>
    <xf numFmtId="164" fontId="47" fillId="0" borderId="1" xfId="0" applyNumberFormat="1" applyFont="1" applyBorder="1" applyAlignment="1">
      <alignment vertical="top"/>
    </xf>
    <xf numFmtId="0" fontId="47" fillId="0" borderId="3" xfId="0" applyFont="1" applyBorder="1" applyAlignment="1">
      <alignment vertical="top"/>
    </xf>
    <xf numFmtId="0" fontId="48" fillId="0" borderId="1" xfId="0" applyFont="1" applyBorder="1" applyAlignment="1">
      <alignment vertical="top"/>
    </xf>
    <xf numFmtId="0" fontId="48" fillId="0" borderId="3" xfId="0" applyFont="1" applyBorder="1" applyAlignment="1">
      <alignment vertical="justify" wrapText="1"/>
    </xf>
    <xf numFmtId="0" fontId="47" fillId="0" borderId="1" xfId="0" applyFont="1" applyBorder="1" applyAlignment="1">
      <alignment vertical="top"/>
    </xf>
    <xf numFmtId="0" fontId="47" fillId="0" borderId="3" xfId="0" applyFont="1" applyBorder="1" applyAlignment="1">
      <alignment vertical="justify" wrapText="1"/>
    </xf>
    <xf numFmtId="4" fontId="45" fillId="0" borderId="1" xfId="0" applyNumberFormat="1" applyFont="1" applyBorder="1" applyAlignment="1">
      <alignment vertical="top"/>
    </xf>
    <xf numFmtId="164" fontId="45" fillId="0" borderId="1" xfId="0" applyNumberFormat="1" applyFont="1" applyBorder="1" applyAlignment="1">
      <alignment vertical="top"/>
    </xf>
    <xf numFmtId="0" fontId="48" fillId="0" borderId="1" xfId="0" applyFont="1" applyBorder="1" applyAlignment="1">
      <alignment vertical="top" wrapText="1"/>
    </xf>
    <xf numFmtId="0" fontId="49" fillId="0" borderId="1" xfId="0" applyFont="1" applyBorder="1" applyAlignment="1">
      <alignment horizontal="center"/>
    </xf>
    <xf numFmtId="0" fontId="47" fillId="0" borderId="1" xfId="0" applyFont="1" applyBorder="1" applyAlignment="1">
      <alignment horizontal="left"/>
    </xf>
    <xf numFmtId="0" fontId="47" fillId="0" borderId="1" xfId="0" applyFont="1" applyBorder="1" applyAlignment="1" applyProtection="1">
      <alignment vertical="top" wrapText="1"/>
      <protection locked="0"/>
    </xf>
    <xf numFmtId="0" fontId="47" fillId="0" borderId="1" xfId="0" applyFont="1" applyBorder="1" applyAlignment="1">
      <alignment vertical="top" wrapText="1"/>
    </xf>
    <xf numFmtId="4" fontId="47" fillId="0" borderId="0" xfId="0" applyNumberFormat="1" applyFont="1"/>
    <xf numFmtId="0" fontId="47" fillId="0" borderId="9" xfId="0" applyFont="1" applyBorder="1" applyAlignment="1">
      <alignment vertical="top"/>
    </xf>
    <xf numFmtId="0" fontId="47" fillId="0" borderId="1" xfId="0" applyNumberFormat="1" applyFont="1" applyBorder="1" applyAlignment="1">
      <alignment vertical="top" wrapText="1"/>
    </xf>
    <xf numFmtId="4" fontId="47" fillId="0" borderId="2" xfId="0" applyNumberFormat="1" applyFont="1" applyBorder="1" applyAlignment="1">
      <alignment vertical="top"/>
    </xf>
    <xf numFmtId="164" fontId="48" fillId="0" borderId="2" xfId="0" applyNumberFormat="1" applyFont="1" applyBorder="1" applyAlignment="1">
      <alignment vertical="top"/>
    </xf>
    <xf numFmtId="164" fontId="50" fillId="0" borderId="1" xfId="0" applyNumberFormat="1" applyFont="1" applyBorder="1" applyAlignment="1">
      <alignment vertical="top"/>
    </xf>
    <xf numFmtId="4" fontId="45" fillId="0" borderId="0" xfId="0" applyNumberFormat="1" applyFont="1"/>
    <xf numFmtId="0" fontId="47" fillId="0" borderId="8" xfId="0" applyFont="1" applyBorder="1" applyAlignment="1">
      <alignment horizontal="center" vertical="top"/>
    </xf>
    <xf numFmtId="0" fontId="47" fillId="0" borderId="3" xfId="0" applyFont="1" applyBorder="1" applyAlignment="1">
      <alignment vertical="top" wrapText="1"/>
    </xf>
    <xf numFmtId="4" fontId="48" fillId="0" borderId="2" xfId="0" applyNumberFormat="1" applyFont="1" applyBorder="1" applyAlignment="1">
      <alignment vertical="top"/>
    </xf>
    <xf numFmtId="0" fontId="48" fillId="0" borderId="1" xfId="0" applyFont="1" applyBorder="1" applyAlignment="1">
      <alignment horizontal="center" vertical="top"/>
    </xf>
    <xf numFmtId="0" fontId="47" fillId="0" borderId="1" xfId="0" quotePrefix="1" applyFont="1" applyBorder="1" applyAlignment="1" applyProtection="1">
      <alignment vertical="top" wrapText="1"/>
      <protection locked="0"/>
    </xf>
    <xf numFmtId="0" fontId="47" fillId="0" borderId="0" xfId="0" applyFont="1" applyBorder="1" applyAlignment="1">
      <alignment vertical="top" wrapText="1"/>
    </xf>
    <xf numFmtId="0" fontId="45" fillId="0" borderId="1" xfId="0" applyFont="1" applyBorder="1" applyAlignment="1">
      <alignment vertical="top"/>
    </xf>
    <xf numFmtId="0" fontId="45" fillId="0" borderId="4" xfId="0" applyFont="1" applyBorder="1" applyAlignment="1">
      <alignment vertical="top"/>
    </xf>
    <xf numFmtId="4" fontId="50" fillId="0" borderId="1" xfId="0" applyNumberFormat="1" applyFont="1" applyBorder="1" applyAlignment="1">
      <alignment vertical="top"/>
    </xf>
    <xf numFmtId="0" fontId="52" fillId="0" borderId="1" xfId="0" applyFont="1" applyBorder="1" applyAlignment="1">
      <alignment vertical="justify" wrapText="1"/>
    </xf>
    <xf numFmtId="3" fontId="45" fillId="0" borderId="0" xfId="0" applyNumberFormat="1" applyFont="1"/>
    <xf numFmtId="0" fontId="47" fillId="0" borderId="1" xfId="0" applyFont="1" applyBorder="1" applyAlignment="1">
      <alignment horizontal="center" vertical="top"/>
    </xf>
    <xf numFmtId="0" fontId="47" fillId="0" borderId="1" xfId="0" applyFont="1" applyBorder="1" applyAlignment="1">
      <alignment horizontal="center"/>
    </xf>
    <xf numFmtId="0" fontId="48" fillId="0" borderId="1" xfId="0" applyFont="1" applyBorder="1" applyAlignment="1">
      <alignment horizontal="center"/>
    </xf>
    <xf numFmtId="0" fontId="48" fillId="0" borderId="1" xfId="0" applyFont="1" applyBorder="1" applyAlignment="1">
      <alignment horizontal="left" wrapText="1"/>
    </xf>
    <xf numFmtId="164" fontId="47" fillId="0" borderId="2" xfId="0" applyNumberFormat="1" applyFont="1" applyBorder="1" applyAlignment="1">
      <alignment vertical="top"/>
    </xf>
    <xf numFmtId="4" fontId="47" fillId="0" borderId="8" xfId="0" applyNumberFormat="1" applyFont="1" applyBorder="1" applyAlignment="1">
      <alignment vertical="top"/>
    </xf>
    <xf numFmtId="0" fontId="45" fillId="0" borderId="0" xfId="0" applyFont="1"/>
    <xf numFmtId="0" fontId="48" fillId="0" borderId="3" xfId="0" applyFont="1" applyBorder="1" applyAlignment="1">
      <alignment horizontal="left" wrapText="1"/>
    </xf>
    <xf numFmtId="0" fontId="47" fillId="0" borderId="3" xfId="0" applyFont="1" applyBorder="1" applyAlignment="1">
      <alignment horizontal="left"/>
    </xf>
    <xf numFmtId="3" fontId="48" fillId="0" borderId="2" xfId="0" applyNumberFormat="1" applyFont="1" applyBorder="1" applyAlignment="1">
      <alignment vertical="top"/>
    </xf>
    <xf numFmtId="3" fontId="47" fillId="0" borderId="2" xfId="0" applyNumberFormat="1" applyFont="1" applyBorder="1" applyAlignment="1">
      <alignment vertical="top"/>
    </xf>
    <xf numFmtId="0" fontId="48" fillId="0" borderId="1" xfId="0" applyFont="1" applyBorder="1" applyAlignment="1">
      <alignment horizontal="center" vertical="top" wrapText="1"/>
    </xf>
    <xf numFmtId="0" fontId="47" fillId="0" borderId="1" xfId="0" applyFont="1" applyBorder="1" applyAlignment="1">
      <alignment horizontal="center" vertical="top" wrapText="1"/>
    </xf>
    <xf numFmtId="0" fontId="48" fillId="0" borderId="1" xfId="0" applyFont="1" applyBorder="1" applyAlignment="1">
      <alignment horizontal="left" vertical="justify" wrapText="1"/>
    </xf>
    <xf numFmtId="4" fontId="48" fillId="0" borderId="1" xfId="0" applyNumberFormat="1" applyFont="1" applyBorder="1" applyAlignment="1">
      <alignment horizontal="right" vertical="top"/>
    </xf>
    <xf numFmtId="0" fontId="47" fillId="0" borderId="3" xfId="0" applyFont="1" applyBorder="1" applyAlignment="1">
      <alignment horizontal="left" vertical="top" wrapText="1"/>
    </xf>
    <xf numFmtId="4" fontId="47" fillId="0" borderId="1" xfId="0" applyNumberFormat="1" applyFont="1" applyBorder="1" applyAlignment="1">
      <alignment horizontal="right" vertical="top"/>
    </xf>
    <xf numFmtId="4" fontId="45" fillId="0" borderId="1" xfId="0" applyNumberFormat="1" applyFont="1" applyBorder="1" applyAlignment="1">
      <alignment horizontal="right" vertical="top"/>
    </xf>
    <xf numFmtId="0" fontId="47" fillId="0" borderId="2" xfId="0" applyFont="1" applyBorder="1" applyAlignment="1">
      <alignment vertical="top"/>
    </xf>
    <xf numFmtId="0" fontId="48" fillId="0" borderId="3" xfId="0" applyFont="1" applyBorder="1" applyAlignment="1">
      <alignment horizontal="center"/>
    </xf>
    <xf numFmtId="0" fontId="47" fillId="0" borderId="13" xfId="0" applyFont="1" applyBorder="1" applyAlignment="1">
      <alignment vertical="top"/>
    </xf>
    <xf numFmtId="0" fontId="49" fillId="0" borderId="1" xfId="0" applyFont="1" applyBorder="1" applyAlignment="1">
      <alignment horizontal="center" vertical="top"/>
    </xf>
    <xf numFmtId="0" fontId="47" fillId="0" borderId="1" xfId="0" applyFont="1" applyBorder="1" applyAlignment="1">
      <alignment horizontal="left" wrapText="1"/>
    </xf>
    <xf numFmtId="0" fontId="47" fillId="0" borderId="3" xfId="0" applyFont="1" applyBorder="1" applyAlignment="1">
      <alignment horizontal="left" wrapText="1"/>
    </xf>
    <xf numFmtId="0" fontId="48" fillId="0" borderId="3" xfId="0" applyFont="1" applyBorder="1" applyAlignment="1">
      <alignment vertical="top" wrapText="1"/>
    </xf>
    <xf numFmtId="14" fontId="47" fillId="0" borderId="6" xfId="0" applyNumberFormat="1" applyFont="1" applyBorder="1" applyAlignment="1">
      <alignment horizontal="right" vertical="top"/>
    </xf>
    <xf numFmtId="4" fontId="45" fillId="0" borderId="0" xfId="0" applyNumberFormat="1" applyFont="1" applyBorder="1" applyAlignment="1">
      <alignment vertical="top"/>
    </xf>
    <xf numFmtId="4" fontId="57" fillId="0" borderId="0" xfId="0" applyNumberFormat="1" applyFont="1" applyBorder="1" applyAlignment="1">
      <alignment vertical="top"/>
    </xf>
    <xf numFmtId="0" fontId="47" fillId="0" borderId="0" xfId="0" applyFont="1" applyBorder="1" applyAlignment="1">
      <alignment horizontal="left" vertical="top"/>
    </xf>
    <xf numFmtId="4" fontId="51" fillId="0" borderId="0" xfId="0" applyNumberFormat="1" applyFont="1" applyBorder="1" applyAlignment="1">
      <alignment horizontal="right" vertical="top"/>
    </xf>
    <xf numFmtId="164" fontId="45" fillId="0" borderId="0" xfId="0" applyNumberFormat="1" applyFont="1" applyBorder="1" applyAlignment="1">
      <alignment vertical="top"/>
    </xf>
    <xf numFmtId="3" fontId="51" fillId="0" borderId="0" xfId="0" applyNumberFormat="1" applyFont="1" applyAlignment="1">
      <alignment vertical="top" wrapText="1"/>
    </xf>
    <xf numFmtId="0" fontId="51" fillId="0" borderId="0" xfId="0" applyFont="1" applyAlignment="1">
      <alignment vertical="top" wrapText="1"/>
    </xf>
    <xf numFmtId="0" fontId="58" fillId="0" borderId="0" xfId="0" applyFont="1" applyBorder="1" applyAlignment="1">
      <alignment vertical="top" wrapText="1"/>
    </xf>
    <xf numFmtId="4" fontId="51" fillId="0" borderId="0" xfId="0" applyNumberFormat="1" applyFont="1" applyAlignment="1">
      <alignment vertical="top" wrapText="1"/>
    </xf>
    <xf numFmtId="0" fontId="61" fillId="0" borderId="0" xfId="0" applyFont="1" applyBorder="1" applyAlignment="1">
      <alignment vertical="top" wrapText="1"/>
    </xf>
    <xf numFmtId="3" fontId="45" fillId="0" borderId="0" xfId="0" applyNumberFormat="1" applyFont="1" applyBorder="1" applyAlignment="1">
      <alignment vertical="top" wrapText="1"/>
    </xf>
    <xf numFmtId="0" fontId="45" fillId="0" borderId="0" xfId="0" applyFont="1" applyBorder="1" applyAlignment="1">
      <alignment vertical="top" wrapText="1"/>
    </xf>
    <xf numFmtId="4" fontId="47" fillId="0" borderId="0" xfId="0" applyNumberFormat="1" applyFont="1" applyBorder="1" applyAlignment="1">
      <alignment vertical="top" wrapText="1"/>
    </xf>
    <xf numFmtId="0" fontId="47" fillId="0" borderId="0" xfId="0" applyFont="1" applyBorder="1" applyAlignment="1">
      <alignment horizontal="right" vertical="top" wrapText="1"/>
    </xf>
    <xf numFmtId="4" fontId="56" fillId="0" borderId="0" xfId="0" applyNumberFormat="1" applyFont="1" applyAlignment="1">
      <alignment vertical="top" wrapText="1"/>
    </xf>
    <xf numFmtId="0" fontId="56" fillId="0" borderId="0" xfId="0" applyFont="1" applyAlignment="1">
      <alignment vertical="top" wrapText="1"/>
    </xf>
    <xf numFmtId="4" fontId="45" fillId="0" borderId="0" xfId="0" applyNumberFormat="1" applyFont="1" applyBorder="1" applyAlignment="1">
      <alignment vertical="top" wrapText="1"/>
    </xf>
    <xf numFmtId="4" fontId="61" fillId="0" borderId="0" xfId="0" applyNumberFormat="1" applyFont="1" applyBorder="1" applyAlignment="1">
      <alignment vertical="top" wrapText="1"/>
    </xf>
    <xf numFmtId="0" fontId="54" fillId="0" borderId="0" xfId="0" applyFont="1" applyAlignment="1">
      <alignment horizontal="left"/>
    </xf>
    <xf numFmtId="0" fontId="51" fillId="0" borderId="0" xfId="0" applyFont="1" applyAlignment="1">
      <alignment horizontal="left"/>
    </xf>
    <xf numFmtId="0" fontId="51" fillId="0" borderId="0" xfId="0" applyFont="1" applyAlignment="1">
      <alignment horizontal="right"/>
    </xf>
    <xf numFmtId="4" fontId="51" fillId="0" borderId="0" xfId="0" applyNumberFormat="1" applyFont="1" applyAlignment="1">
      <alignment horizontal="left"/>
    </xf>
    <xf numFmtId="10" fontId="47" fillId="0" borderId="0" xfId="0" applyNumberFormat="1" applyFont="1"/>
    <xf numFmtId="49" fontId="56" fillId="0" borderId="1" xfId="0" applyNumberFormat="1" applyFont="1" applyBorder="1" applyAlignment="1">
      <alignment horizontal="right" wrapText="1"/>
    </xf>
    <xf numFmtId="4" fontId="51" fillId="0" borderId="1" xfId="0" applyNumberFormat="1" applyFont="1" applyBorder="1" applyAlignment="1">
      <alignment horizontal="right" wrapText="1"/>
    </xf>
    <xf numFmtId="2" fontId="51" fillId="0" borderId="1" xfId="0" applyNumberFormat="1" applyFont="1" applyBorder="1" applyAlignment="1">
      <alignment horizontal="right" wrapText="1"/>
    </xf>
    <xf numFmtId="3" fontId="47" fillId="0" borderId="1" xfId="0" applyNumberFormat="1" applyFont="1" applyBorder="1" applyAlignment="1">
      <alignment wrapText="1"/>
    </xf>
    <xf numFmtId="4" fontId="47" fillId="0" borderId="1" xfId="0" applyNumberFormat="1" applyFont="1" applyBorder="1" applyAlignment="1">
      <alignment wrapText="1"/>
    </xf>
    <xf numFmtId="164" fontId="47" fillId="0" borderId="1" xfId="0" applyNumberFormat="1" applyFont="1" applyBorder="1" applyAlignment="1">
      <alignment wrapText="1"/>
    </xf>
    <xf numFmtId="0" fontId="47" fillId="0" borderId="1" xfId="0" applyFont="1" applyBorder="1"/>
    <xf numFmtId="0" fontId="46" fillId="0" borderId="1" xfId="0" applyFont="1" applyBorder="1" applyAlignment="1">
      <alignment wrapText="1"/>
    </xf>
    <xf numFmtId="3" fontId="45" fillId="0" borderId="1" xfId="0" applyNumberFormat="1" applyFont="1" applyBorder="1" applyAlignment="1">
      <alignment wrapText="1"/>
    </xf>
    <xf numFmtId="4" fontId="45" fillId="0" borderId="1" xfId="0" applyNumberFormat="1" applyFont="1" applyBorder="1" applyAlignment="1">
      <alignment wrapText="1"/>
    </xf>
    <xf numFmtId="0" fontId="47" fillId="0" borderId="6" xfId="0" applyNumberFormat="1" applyFont="1" applyBorder="1" applyAlignment="1">
      <alignment wrapText="1"/>
    </xf>
    <xf numFmtId="0" fontId="51" fillId="0" borderId="6" xfId="0" applyFont="1" applyBorder="1" applyAlignment="1">
      <alignment wrapText="1"/>
    </xf>
    <xf numFmtId="3" fontId="47" fillId="0" borderId="0" xfId="0" applyNumberFormat="1" applyFont="1" applyBorder="1" applyAlignment="1">
      <alignment wrapText="1"/>
    </xf>
    <xf numFmtId="4" fontId="47" fillId="0" borderId="0" xfId="0" applyNumberFormat="1" applyFont="1" applyBorder="1" applyAlignment="1">
      <alignment wrapText="1"/>
    </xf>
    <xf numFmtId="164" fontId="47" fillId="0" borderId="0" xfId="0" applyNumberFormat="1" applyFont="1" applyBorder="1" applyAlignment="1">
      <alignment wrapText="1"/>
    </xf>
    <xf numFmtId="0" fontId="47" fillId="0" borderId="0" xfId="0" applyNumberFormat="1" applyFont="1" applyBorder="1" applyAlignment="1">
      <alignment wrapText="1"/>
    </xf>
    <xf numFmtId="0" fontId="51" fillId="0" borderId="0" xfId="0" applyFont="1" applyBorder="1" applyAlignment="1">
      <alignment wrapText="1"/>
    </xf>
    <xf numFmtId="0" fontId="47" fillId="0" borderId="1" xfId="0" applyNumberFormat="1" applyFont="1" applyBorder="1" applyAlignment="1">
      <alignment wrapText="1"/>
    </xf>
    <xf numFmtId="0" fontId="51" fillId="0" borderId="1" xfId="0" applyFont="1" applyBorder="1" applyAlignment="1">
      <alignment wrapText="1"/>
    </xf>
    <xf numFmtId="4" fontId="53" fillId="0" borderId="1" xfId="0" applyNumberFormat="1" applyFont="1" applyBorder="1" applyAlignment="1">
      <alignment wrapText="1"/>
    </xf>
    <xf numFmtId="4" fontId="47" fillId="0" borderId="1" xfId="0" applyNumberFormat="1" applyFont="1" applyBorder="1"/>
    <xf numFmtId="0" fontId="46" fillId="0" borderId="0" xfId="0" applyFont="1" applyAlignment="1">
      <alignment wrapText="1"/>
    </xf>
    <xf numFmtId="0" fontId="47" fillId="0" borderId="1" xfId="0" applyFont="1" applyBorder="1" applyAlignment="1">
      <alignment wrapText="1"/>
    </xf>
    <xf numFmtId="0" fontId="47" fillId="0" borderId="0" xfId="0" applyFont="1" applyAlignment="1">
      <alignment wrapText="1"/>
    </xf>
    <xf numFmtId="4" fontId="47" fillId="0" borderId="0" xfId="0" applyNumberFormat="1" applyFont="1" applyAlignment="1">
      <alignment wrapText="1"/>
    </xf>
    <xf numFmtId="4" fontId="45" fillId="0" borderId="0" xfId="0" applyNumberFormat="1" applyFont="1" applyAlignment="1">
      <alignment wrapText="1"/>
    </xf>
    <xf numFmtId="4" fontId="47" fillId="0" borderId="0" xfId="0" applyNumberFormat="1" applyFont="1" applyAlignment="1"/>
    <xf numFmtId="0" fontId="51" fillId="0" borderId="0" xfId="0" applyFont="1" applyAlignment="1"/>
    <xf numFmtId="0" fontId="65" fillId="0" borderId="0" xfId="0" applyFont="1" applyAlignment="1">
      <alignment vertical="top"/>
    </xf>
    <xf numFmtId="0" fontId="65" fillId="0" borderId="0" xfId="0" applyFont="1" applyBorder="1" applyAlignment="1">
      <alignment horizontal="center" vertical="top" wrapText="1"/>
    </xf>
    <xf numFmtId="0" fontId="65" fillId="0" borderId="1" xfId="0" applyFont="1" applyBorder="1" applyAlignment="1">
      <alignment horizontal="center" vertical="top" wrapText="1"/>
    </xf>
    <xf numFmtId="49" fontId="65" fillId="0" borderId="2" xfId="0" applyNumberFormat="1" applyFont="1" applyBorder="1" applyAlignment="1">
      <alignment horizontal="center" vertical="top" wrapText="1"/>
    </xf>
    <xf numFmtId="49" fontId="66" fillId="0" borderId="2" xfId="0" applyNumberFormat="1" applyFont="1" applyBorder="1" applyAlignment="1">
      <alignment horizontal="center" vertical="top" wrapText="1"/>
    </xf>
    <xf numFmtId="0" fontId="65" fillId="0" borderId="2" xfId="0" applyFont="1" applyBorder="1" applyAlignment="1">
      <alignment horizontal="center" vertical="top" wrapText="1"/>
    </xf>
    <xf numFmtId="0" fontId="65" fillId="0" borderId="1" xfId="0" applyFont="1" applyBorder="1" applyAlignment="1">
      <alignment horizontal="left" vertical="top" wrapText="1"/>
    </xf>
    <xf numFmtId="4" fontId="65" fillId="0" borderId="1" xfId="0" applyNumberFormat="1" applyFont="1" applyBorder="1" applyAlignment="1">
      <alignment vertical="top" wrapText="1"/>
    </xf>
    <xf numFmtId="164" fontId="65" fillId="0" borderId="1" xfId="0" applyNumberFormat="1" applyFont="1" applyBorder="1" applyAlignment="1">
      <alignment vertical="top" wrapText="1"/>
    </xf>
    <xf numFmtId="4" fontId="65" fillId="0" borderId="1" xfId="1" applyNumberFormat="1" applyFont="1" applyBorder="1" applyAlignment="1">
      <alignment vertical="top" wrapText="1"/>
    </xf>
    <xf numFmtId="0" fontId="65" fillId="0" borderId="2" xfId="0" applyFont="1" applyBorder="1" applyAlignment="1">
      <alignment horizontal="left" vertical="top" wrapText="1"/>
    </xf>
    <xf numFmtId="0" fontId="67" fillId="0" borderId="1" xfId="0" applyFont="1" applyBorder="1" applyAlignment="1">
      <alignment vertical="top"/>
    </xf>
    <xf numFmtId="0" fontId="67" fillId="0" borderId="1" xfId="0" applyFont="1" applyBorder="1" applyAlignment="1">
      <alignment vertical="justify" wrapText="1"/>
    </xf>
    <xf numFmtId="4" fontId="64" fillId="0" borderId="1" xfId="1" applyNumberFormat="1" applyFont="1" applyBorder="1" applyAlignment="1">
      <alignment vertical="top" wrapText="1"/>
    </xf>
    <xf numFmtId="4" fontId="64" fillId="0" borderId="1" xfId="0" applyNumberFormat="1" applyFont="1" applyBorder="1" applyAlignment="1" applyProtection="1">
      <alignment vertical="top" wrapText="1"/>
      <protection locked="0"/>
    </xf>
    <xf numFmtId="164" fontId="64" fillId="0" borderId="1" xfId="0" applyNumberFormat="1" applyFont="1" applyBorder="1" applyAlignment="1">
      <alignment vertical="top" wrapText="1"/>
    </xf>
    <xf numFmtId="4" fontId="65" fillId="0" borderId="0" xfId="0" applyNumberFormat="1" applyFont="1" applyAlignment="1">
      <alignment vertical="top"/>
    </xf>
    <xf numFmtId="0" fontId="65" fillId="0" borderId="3" xfId="0" applyFont="1" applyBorder="1" applyAlignment="1">
      <alignment vertical="top" wrapText="1"/>
    </xf>
    <xf numFmtId="4" fontId="65" fillId="0" borderId="1" xfId="0" applyNumberFormat="1" applyFont="1" applyBorder="1" applyAlignment="1" applyProtection="1">
      <alignment vertical="top" wrapText="1"/>
      <protection locked="0"/>
    </xf>
    <xf numFmtId="0" fontId="65" fillId="0" borderId="1" xfId="0" applyFont="1" applyBorder="1" applyAlignment="1">
      <alignment vertical="top" wrapText="1"/>
    </xf>
    <xf numFmtId="164" fontId="66" fillId="0" borderId="1" xfId="0" applyNumberFormat="1" applyFont="1" applyBorder="1" applyAlignment="1">
      <alignment vertical="top"/>
    </xf>
    <xf numFmtId="0" fontId="65" fillId="0" borderId="0" xfId="0" applyFont="1" applyBorder="1" applyAlignment="1">
      <alignment vertical="top" wrapText="1"/>
    </xf>
    <xf numFmtId="0" fontId="68" fillId="0" borderId="1" xfId="0" applyFont="1" applyBorder="1" applyAlignment="1">
      <alignment vertical="top" wrapText="1"/>
    </xf>
    <xf numFmtId="4" fontId="64" fillId="0" borderId="1" xfId="0" applyNumberFormat="1" applyFont="1" applyBorder="1" applyAlignment="1">
      <alignment vertical="top" wrapText="1"/>
    </xf>
    <xf numFmtId="0" fontId="65" fillId="0" borderId="2" xfId="0" applyFont="1" applyBorder="1" applyAlignment="1">
      <alignment vertical="top" wrapText="1"/>
    </xf>
    <xf numFmtId="3" fontId="65" fillId="0" borderId="0" xfId="0" applyNumberFormat="1" applyFont="1" applyAlignment="1">
      <alignment vertical="top"/>
    </xf>
    <xf numFmtId="0" fontId="68" fillId="0" borderId="13" xfId="0" applyFont="1" applyBorder="1" applyAlignment="1">
      <alignment vertical="top" wrapText="1"/>
    </xf>
    <xf numFmtId="0" fontId="65" fillId="0" borderId="13" xfId="0" applyFont="1" applyBorder="1" applyAlignment="1">
      <alignment vertical="top" wrapText="1"/>
    </xf>
    <xf numFmtId="4" fontId="65" fillId="0" borderId="2" xfId="1" applyNumberFormat="1" applyFont="1" applyBorder="1" applyAlignment="1">
      <alignment vertical="top" wrapText="1"/>
    </xf>
    <xf numFmtId="164" fontId="65" fillId="0" borderId="2" xfId="0" applyNumberFormat="1" applyFont="1" applyBorder="1" applyAlignment="1">
      <alignment vertical="top" wrapText="1"/>
    </xf>
    <xf numFmtId="4" fontId="65" fillId="0" borderId="2" xfId="0" applyNumberFormat="1" applyFont="1" applyBorder="1" applyAlignment="1">
      <alignment vertical="top" wrapText="1"/>
    </xf>
    <xf numFmtId="0" fontId="68" fillId="0" borderId="8" xfId="0" applyFont="1" applyBorder="1" applyAlignment="1">
      <alignment vertical="top" wrapText="1"/>
    </xf>
    <xf numFmtId="4" fontId="65" fillId="0" borderId="2" xfId="0" applyNumberFormat="1" applyFont="1" applyBorder="1" applyAlignment="1" applyProtection="1">
      <alignment vertical="top" wrapText="1"/>
      <protection locked="0"/>
    </xf>
    <xf numFmtId="164" fontId="66" fillId="0" borderId="2" xfId="0" applyNumberFormat="1" applyFont="1" applyBorder="1" applyAlignment="1">
      <alignment vertical="top"/>
    </xf>
    <xf numFmtId="164" fontId="66" fillId="0" borderId="13" xfId="0" applyNumberFormat="1" applyFont="1" applyBorder="1" applyAlignment="1">
      <alignment vertical="top"/>
    </xf>
    <xf numFmtId="0" fontId="68" fillId="0" borderId="8" xfId="0" applyFont="1" applyBorder="1" applyAlignment="1">
      <alignment vertical="top"/>
    </xf>
    <xf numFmtId="4" fontId="65" fillId="0" borderId="8" xfId="0" applyNumberFormat="1" applyFont="1" applyBorder="1" applyAlignment="1" applyProtection="1">
      <alignment vertical="top" wrapText="1"/>
      <protection locked="0"/>
    </xf>
    <xf numFmtId="0" fontId="65" fillId="0" borderId="1" xfId="0" applyFont="1" applyBorder="1" applyAlignment="1">
      <alignment vertical="top"/>
    </xf>
    <xf numFmtId="0" fontId="65" fillId="0" borderId="1" xfId="0" applyFont="1" applyBorder="1" applyAlignment="1" applyProtection="1">
      <alignment vertical="top"/>
      <protection locked="0"/>
    </xf>
    <xf numFmtId="0" fontId="65" fillId="0" borderId="5" xfId="0" applyFont="1" applyBorder="1" applyAlignment="1" applyProtection="1">
      <alignment vertical="top"/>
      <protection locked="0"/>
    </xf>
    <xf numFmtId="0" fontId="65" fillId="0" borderId="9" xfId="0" applyFont="1" applyBorder="1" applyAlignment="1">
      <alignment vertical="top" wrapText="1"/>
    </xf>
    <xf numFmtId="3" fontId="65" fillId="0" borderId="0" xfId="0" applyNumberFormat="1" applyFont="1" applyBorder="1" applyAlignment="1">
      <alignment vertical="top" wrapText="1"/>
    </xf>
    <xf numFmtId="0" fontId="64" fillId="0" borderId="5" xfId="0" applyFont="1" applyBorder="1" applyAlignment="1">
      <alignment vertical="top"/>
    </xf>
    <xf numFmtId="0" fontId="65" fillId="0" borderId="4" xfId="0" applyFont="1" applyBorder="1" applyAlignment="1">
      <alignment vertical="top"/>
    </xf>
    <xf numFmtId="0" fontId="65" fillId="0" borderId="3" xfId="0" applyFont="1" applyBorder="1" applyAlignment="1">
      <alignment vertical="top"/>
    </xf>
    <xf numFmtId="4" fontId="65" fillId="0" borderId="1" xfId="0" applyNumberFormat="1" applyFont="1" applyBorder="1" applyAlignment="1">
      <alignment vertical="top"/>
    </xf>
    <xf numFmtId="4" fontId="64" fillId="0" borderId="1" xfId="0" applyNumberFormat="1" applyFont="1" applyBorder="1" applyAlignment="1">
      <alignment vertical="top"/>
    </xf>
    <xf numFmtId="4" fontId="71" fillId="0" borderId="1" xfId="0" applyNumberFormat="1" applyFont="1" applyBorder="1" applyAlignment="1">
      <alignment vertical="top" wrapText="1"/>
    </xf>
    <xf numFmtId="4" fontId="65" fillId="0" borderId="0" xfId="0" applyNumberFormat="1" applyFont="1" applyBorder="1" applyAlignment="1">
      <alignment vertical="top" wrapText="1"/>
    </xf>
    <xf numFmtId="4" fontId="64" fillId="0" borderId="0" xfId="0" applyNumberFormat="1" applyFont="1"/>
    <xf numFmtId="164" fontId="64" fillId="0" borderId="0" xfId="0" applyNumberFormat="1" applyFont="1" applyBorder="1" applyAlignment="1">
      <alignment vertical="top"/>
    </xf>
    <xf numFmtId="4" fontId="65" fillId="0" borderId="0" xfId="0" applyNumberFormat="1" applyFont="1" applyAlignment="1">
      <alignment vertical="top" wrapText="1"/>
    </xf>
    <xf numFmtId="0" fontId="65" fillId="0" borderId="0" xfId="0" applyFont="1" applyAlignment="1">
      <alignment vertical="top" wrapText="1"/>
    </xf>
    <xf numFmtId="14" fontId="65" fillId="0" borderId="0" xfId="0" applyNumberFormat="1" applyFont="1" applyBorder="1" applyAlignment="1">
      <alignment horizontal="left" vertical="top" wrapText="1"/>
    </xf>
    <xf numFmtId="0" fontId="48" fillId="0" borderId="2" xfId="0" applyFont="1" applyBorder="1" applyAlignment="1">
      <alignment vertical="top"/>
    </xf>
    <xf numFmtId="0" fontId="48" fillId="0" borderId="13" xfId="0" applyFont="1" applyBorder="1" applyAlignment="1">
      <alignment vertical="top"/>
    </xf>
    <xf numFmtId="0" fontId="48" fillId="0" borderId="8" xfId="0" applyFont="1" applyBorder="1" applyAlignment="1">
      <alignment vertical="top"/>
    </xf>
    <xf numFmtId="0" fontId="14" fillId="0" borderId="13" xfId="0" applyFont="1" applyBorder="1" applyAlignment="1">
      <alignment horizontal="center" vertical="top" wrapText="1"/>
    </xf>
    <xf numFmtId="0" fontId="14" fillId="0" borderId="2" xfId="0" applyFont="1" applyBorder="1" applyAlignment="1">
      <alignment horizontal="center" vertical="top" wrapText="1"/>
    </xf>
    <xf numFmtId="0" fontId="53" fillId="0" borderId="13" xfId="0" applyFont="1" applyBorder="1" applyAlignment="1">
      <alignment horizontal="center" vertical="top" wrapText="1"/>
    </xf>
    <xf numFmtId="0" fontId="53" fillId="0" borderId="8" xfId="0" applyFont="1" applyBorder="1" applyAlignment="1">
      <alignment horizontal="center" vertical="top" wrapText="1"/>
    </xf>
    <xf numFmtId="0" fontId="48" fillId="0" borderId="2" xfId="0" applyFont="1" applyBorder="1" applyAlignment="1">
      <alignment vertical="top" wrapText="1"/>
    </xf>
    <xf numFmtId="0" fontId="10" fillId="0" borderId="9" xfId="0" applyFont="1" applyBorder="1" applyAlignment="1">
      <alignment vertical="top" wrapText="1"/>
    </xf>
    <xf numFmtId="0" fontId="47" fillId="0" borderId="0" xfId="0" applyFont="1" applyBorder="1" applyAlignment="1">
      <alignment horizontal="left" vertical="top" wrapText="1"/>
    </xf>
    <xf numFmtId="0" fontId="51" fillId="0" borderId="0" xfId="0" applyFont="1" applyBorder="1" applyAlignment="1"/>
    <xf numFmtId="4" fontId="10" fillId="0" borderId="1" xfId="0" applyNumberFormat="1" applyFont="1" applyBorder="1" applyAlignment="1" applyProtection="1">
      <alignment horizontal="right" vertical="top" wrapText="1"/>
      <protection locked="0"/>
    </xf>
    <xf numFmtId="49" fontId="5" fillId="0" borderId="1" xfId="0" applyNumberFormat="1" applyFont="1" applyBorder="1" applyAlignment="1">
      <alignment horizontal="right" wrapText="1"/>
    </xf>
    <xf numFmtId="0" fontId="0" fillId="0" borderId="0" xfId="0" applyFont="1" applyAlignment="1">
      <alignment horizontal="right" vertical="top"/>
    </xf>
    <xf numFmtId="3" fontId="10" fillId="0" borderId="5" xfId="0" applyNumberFormat="1" applyFont="1" applyBorder="1" applyAlignment="1">
      <alignment vertical="top" wrapText="1"/>
    </xf>
    <xf numFmtId="0" fontId="48" fillId="0" borderId="13" xfId="0" applyFont="1" applyBorder="1" applyAlignment="1">
      <alignment horizontal="center" vertical="top"/>
    </xf>
    <xf numFmtId="0" fontId="8" fillId="0" borderId="1" xfId="0" applyFont="1" applyBorder="1" applyAlignment="1">
      <alignment vertical="justify" wrapText="1"/>
    </xf>
    <xf numFmtId="0" fontId="8" fillId="0" borderId="1" xfId="0" applyFont="1" applyBorder="1" applyAlignment="1">
      <alignment horizontal="left"/>
    </xf>
    <xf numFmtId="0" fontId="10" fillId="0" borderId="0" xfId="0" applyNumberFormat="1" applyFont="1" applyBorder="1" applyAlignment="1">
      <alignment vertical="top"/>
    </xf>
    <xf numFmtId="0" fontId="10" fillId="0" borderId="5" xfId="0" applyFont="1" applyBorder="1" applyAlignment="1">
      <alignment vertical="top"/>
    </xf>
    <xf numFmtId="4" fontId="10" fillId="0" borderId="1" xfId="0" applyNumberFormat="1" applyFont="1" applyBorder="1" applyAlignment="1">
      <alignment vertical="justify" wrapText="1"/>
    </xf>
    <xf numFmtId="0" fontId="8" fillId="0" borderId="0" xfId="0" applyFont="1" applyBorder="1" applyAlignment="1">
      <alignment horizontal="center" vertical="top" wrapText="1"/>
    </xf>
    <xf numFmtId="3" fontId="8" fillId="0" borderId="1" xfId="0" applyNumberFormat="1" applyFont="1" applyBorder="1" applyAlignment="1" applyProtection="1">
      <alignment vertical="top" wrapText="1"/>
      <protection locked="0"/>
    </xf>
    <xf numFmtId="3" fontId="13" fillId="0" borderId="1" xfId="0" applyNumberFormat="1" applyFont="1" applyBorder="1" applyAlignment="1">
      <alignment horizontal="right" vertical="top" wrapText="1"/>
    </xf>
    <xf numFmtId="164" fontId="8" fillId="0" borderId="1" xfId="0" applyNumberFormat="1" applyFont="1" applyBorder="1" applyAlignment="1">
      <alignment horizontal="center" vertical="top"/>
    </xf>
    <xf numFmtId="3" fontId="8" fillId="0" borderId="0" xfId="0" applyNumberFormat="1" applyFont="1" applyAlignment="1">
      <alignment horizontal="center" vertical="top"/>
    </xf>
    <xf numFmtId="0" fontId="8" fillId="0" borderId="0" xfId="0" applyFont="1" applyAlignment="1">
      <alignment horizontal="center" vertical="top"/>
    </xf>
    <xf numFmtId="0" fontId="12" fillId="0" borderId="0" xfId="0" applyFont="1" applyBorder="1" applyAlignment="1">
      <alignment horizontal="center" vertical="top" wrapText="1"/>
    </xf>
    <xf numFmtId="3" fontId="13" fillId="0" borderId="0" xfId="0" applyNumberFormat="1" applyFont="1" applyBorder="1" applyAlignment="1">
      <alignment horizontal="center" vertical="top" wrapText="1"/>
    </xf>
    <xf numFmtId="3" fontId="13" fillId="0" borderId="0" xfId="0" applyNumberFormat="1" applyFont="1" applyBorder="1" applyAlignment="1">
      <alignment horizontal="right" vertical="top" wrapText="1"/>
    </xf>
    <xf numFmtId="164" fontId="8" fillId="0" borderId="0" xfId="0" applyNumberFormat="1" applyFont="1" applyBorder="1" applyAlignment="1">
      <alignment horizontal="center" vertical="top"/>
    </xf>
    <xf numFmtId="3" fontId="0" fillId="0" borderId="0" xfId="0" applyNumberFormat="1" applyFont="1" applyAlignment="1">
      <alignment vertical="top"/>
    </xf>
    <xf numFmtId="0" fontId="0" fillId="0" borderId="1" xfId="0" applyFont="1" applyBorder="1" applyAlignment="1">
      <alignment vertical="top"/>
    </xf>
    <xf numFmtId="0" fontId="0" fillId="0" borderId="0" xfId="0" applyFont="1" applyAlignment="1">
      <alignment vertical="top"/>
    </xf>
    <xf numFmtId="0" fontId="8" fillId="0" borderId="0" xfId="0" applyFont="1" applyBorder="1" applyAlignment="1">
      <alignment vertical="top" wrapText="1"/>
    </xf>
    <xf numFmtId="0" fontId="5" fillId="0" borderId="0" xfId="0" applyFont="1" applyAlignment="1">
      <alignment vertical="top" wrapText="1"/>
    </xf>
    <xf numFmtId="0" fontId="10" fillId="0" borderId="0" xfId="0" applyFont="1" applyBorder="1" applyAlignment="1">
      <alignment vertical="top" wrapText="1"/>
    </xf>
    <xf numFmtId="0" fontId="0" fillId="0" borderId="0" xfId="0" applyAlignment="1">
      <alignment vertical="top" wrapText="1"/>
    </xf>
    <xf numFmtId="0" fontId="8" fillId="0" borderId="0" xfId="0" applyFont="1" applyBorder="1" applyAlignment="1">
      <alignment horizontal="center" vertical="top" wrapText="1"/>
    </xf>
    <xf numFmtId="0" fontId="10" fillId="0" borderId="0" xfId="0" applyNumberFormat="1" applyFont="1" applyAlignment="1">
      <alignment horizontal="left" vertical="top" wrapText="1"/>
    </xf>
    <xf numFmtId="0" fontId="9" fillId="0" borderId="0" xfId="0" applyFont="1" applyAlignment="1">
      <alignment horizontal="left" wrapText="1"/>
    </xf>
    <xf numFmtId="0" fontId="10" fillId="0" borderId="0" xfId="0" applyNumberFormat="1" applyFont="1" applyAlignment="1">
      <alignment vertical="top" wrapText="1"/>
    </xf>
    <xf numFmtId="0" fontId="9" fillId="0" borderId="0" xfId="0" applyFont="1" applyAlignment="1">
      <alignment wrapText="1"/>
    </xf>
    <xf numFmtId="0" fontId="8" fillId="0" borderId="5" xfId="0" applyFont="1" applyBorder="1" applyAlignment="1">
      <alignment horizontal="center" vertical="top" wrapText="1"/>
    </xf>
    <xf numFmtId="0" fontId="8" fillId="0" borderId="4" xfId="0" applyFont="1" applyBorder="1" applyAlignment="1">
      <alignment horizontal="center" vertical="top" wrapText="1"/>
    </xf>
    <xf numFmtId="0" fontId="8" fillId="0" borderId="3" xfId="0" applyFont="1" applyBorder="1" applyAlignment="1">
      <alignment horizontal="center" vertical="top" wrapText="1"/>
    </xf>
    <xf numFmtId="0" fontId="10" fillId="0" borderId="0" xfId="0" applyFont="1" applyBorder="1" applyAlignment="1">
      <alignment horizontal="left" vertical="top" wrapText="1"/>
    </xf>
    <xf numFmtId="0" fontId="9" fillId="0" borderId="0" xfId="0" applyFont="1" applyAlignment="1">
      <alignment vertical="top"/>
    </xf>
    <xf numFmtId="0" fontId="10" fillId="0" borderId="2" xfId="0" applyFont="1" applyBorder="1" applyAlignment="1">
      <alignment horizontal="center" vertical="top" wrapText="1"/>
    </xf>
    <xf numFmtId="0" fontId="10" fillId="0" borderId="13" xfId="0" applyFont="1" applyBorder="1" applyAlignment="1">
      <alignment horizontal="center" vertical="top" wrapText="1"/>
    </xf>
    <xf numFmtId="0" fontId="14" fillId="0" borderId="13" xfId="0" applyFont="1" applyBorder="1" applyAlignment="1">
      <alignment horizontal="center" vertical="top" wrapText="1"/>
    </xf>
    <xf numFmtId="0" fontId="10" fillId="0" borderId="1" xfId="0" applyFont="1" applyBorder="1" applyAlignment="1">
      <alignment horizontal="center" vertical="top"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22" fillId="0" borderId="5" xfId="0" applyFont="1" applyBorder="1" applyAlignment="1">
      <alignment horizontal="center" vertical="top" wrapText="1"/>
    </xf>
    <xf numFmtId="0" fontId="19" fillId="0" borderId="4" xfId="0" applyFont="1" applyBorder="1" applyAlignment="1">
      <alignment horizontal="center" vertical="top" wrapText="1"/>
    </xf>
    <xf numFmtId="0" fontId="22" fillId="0" borderId="4" xfId="0" applyFont="1" applyBorder="1" applyAlignment="1">
      <alignment horizontal="center" vertical="top" wrapText="1"/>
    </xf>
    <xf numFmtId="0" fontId="4" fillId="0" borderId="3" xfId="0" applyFont="1" applyBorder="1" applyAlignment="1">
      <alignment horizontal="center" wrapText="1"/>
    </xf>
    <xf numFmtId="0" fontId="10" fillId="0" borderId="4" xfId="0" applyFont="1" applyBorder="1" applyAlignment="1">
      <alignment horizontal="center" vertical="top" wrapText="1"/>
    </xf>
    <xf numFmtId="0" fontId="10"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3" xfId="0" applyFont="1" applyBorder="1" applyAlignment="1">
      <alignment horizontal="center" vertical="top" wrapText="1"/>
    </xf>
    <xf numFmtId="0" fontId="9" fillId="0" borderId="13" xfId="0" applyFont="1" applyBorder="1" applyAlignment="1">
      <alignment vertical="top" wrapText="1"/>
    </xf>
    <xf numFmtId="0" fontId="9" fillId="0" borderId="8" xfId="0" applyFont="1" applyBorder="1" applyAlignment="1">
      <alignment vertical="top" wrapText="1"/>
    </xf>
    <xf numFmtId="0" fontId="9" fillId="0" borderId="13" xfId="0" applyFont="1" applyBorder="1" applyAlignment="1">
      <alignment horizontal="center" vertical="top" wrapText="1"/>
    </xf>
    <xf numFmtId="0" fontId="8" fillId="0" borderId="5"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10" fillId="0" borderId="2" xfId="0" applyFont="1" applyBorder="1" applyAlignment="1">
      <alignment vertical="top" wrapText="1"/>
    </xf>
    <xf numFmtId="0" fontId="10" fillId="0" borderId="8" xfId="0" applyFont="1" applyBorder="1" applyAlignment="1">
      <alignment vertical="top" wrapText="1"/>
    </xf>
    <xf numFmtId="0" fontId="10" fillId="0" borderId="13" xfId="0" applyFont="1" applyBorder="1" applyAlignment="1">
      <alignment vertical="top" wrapText="1"/>
    </xf>
    <xf numFmtId="0" fontId="9" fillId="0" borderId="0" xfId="0" applyFont="1" applyAlignment="1">
      <alignment vertical="top" wrapText="1"/>
    </xf>
    <xf numFmtId="0" fontId="8" fillId="0" borderId="1" xfId="0" applyFont="1" applyBorder="1" applyAlignment="1">
      <alignment vertical="top" wrapText="1"/>
    </xf>
    <xf numFmtId="0" fontId="10" fillId="0" borderId="1" xfId="0" applyFont="1" applyBorder="1" applyAlignment="1">
      <alignment vertical="top" wrapText="1"/>
    </xf>
    <xf numFmtId="0" fontId="12" fillId="0" borderId="4" xfId="0" applyFont="1" applyBorder="1" applyAlignment="1">
      <alignment vertical="top" wrapText="1"/>
    </xf>
    <xf numFmtId="0" fontId="12" fillId="0" borderId="3" xfId="0" applyFont="1" applyBorder="1" applyAlignment="1">
      <alignment vertical="top" wrapText="1"/>
    </xf>
    <xf numFmtId="0" fontId="9" fillId="0" borderId="4" xfId="0" applyFont="1" applyBorder="1" applyAlignment="1">
      <alignment horizontal="center" vertical="top" wrapText="1"/>
    </xf>
    <xf numFmtId="0" fontId="9" fillId="0" borderId="3" xfId="0" applyFont="1" applyBorder="1" applyAlignment="1">
      <alignment horizontal="center" vertical="top" wrapText="1"/>
    </xf>
    <xf numFmtId="0" fontId="8" fillId="0" borderId="14" xfId="0" applyFont="1" applyBorder="1" applyAlignment="1">
      <alignment horizontal="center" vertical="top" wrapText="1"/>
    </xf>
    <xf numFmtId="0" fontId="8" fillId="0" borderId="7" xfId="0" applyFont="1" applyBorder="1" applyAlignment="1">
      <alignment horizontal="center" vertical="top" wrapText="1"/>
    </xf>
    <xf numFmtId="0" fontId="8" fillId="0" borderId="11" xfId="0" applyFont="1" applyBorder="1" applyAlignment="1">
      <alignment horizontal="center" vertical="top" wrapText="1"/>
    </xf>
    <xf numFmtId="0" fontId="10" fillId="0" borderId="8" xfId="0" applyFont="1" applyBorder="1" applyAlignment="1">
      <alignment horizontal="center" vertical="top" wrapText="1"/>
    </xf>
    <xf numFmtId="0" fontId="10" fillId="0" borderId="0" xfId="0" applyFont="1" applyAlignment="1">
      <alignment vertical="top" wrapText="1"/>
    </xf>
    <xf numFmtId="0" fontId="10" fillId="0" borderId="0" xfId="0" applyNumberFormat="1" applyFont="1" applyBorder="1" applyAlignment="1">
      <alignment vertical="top" wrapText="1"/>
    </xf>
    <xf numFmtId="0" fontId="34" fillId="0" borderId="5" xfId="0" applyFont="1" applyBorder="1" applyAlignment="1">
      <alignment horizontal="center" vertical="top" wrapText="1"/>
    </xf>
    <xf numFmtId="0" fontId="28" fillId="0" borderId="4" xfId="0" applyFont="1" applyBorder="1" applyAlignment="1">
      <alignment horizontal="center" vertical="top" wrapText="1"/>
    </xf>
    <xf numFmtId="0" fontId="28" fillId="0" borderId="3" xfId="0" applyFont="1" applyBorder="1" applyAlignment="1">
      <alignment horizontal="center" vertical="top" wrapText="1"/>
    </xf>
    <xf numFmtId="0" fontId="26" fillId="0" borderId="5" xfId="0" applyFont="1" applyBorder="1" applyAlignment="1">
      <alignment horizontal="center" vertical="top" wrapText="1"/>
    </xf>
    <xf numFmtId="0" fontId="26" fillId="0" borderId="5" xfId="0" applyFont="1" applyBorder="1" applyAlignment="1">
      <alignment vertical="top" wrapText="1"/>
    </xf>
    <xf numFmtId="0" fontId="28" fillId="0" borderId="4" xfId="0" applyFont="1" applyBorder="1" applyAlignment="1">
      <alignment vertical="top" wrapText="1"/>
    </xf>
    <xf numFmtId="0" fontId="28" fillId="0" borderId="3" xfId="0" applyFont="1" applyBorder="1" applyAlignment="1">
      <alignment vertical="top" wrapText="1"/>
    </xf>
    <xf numFmtId="0" fontId="26" fillId="0" borderId="5" xfId="0" applyFont="1" applyBorder="1" applyAlignment="1" applyProtection="1">
      <alignment horizontal="left" vertical="top"/>
      <protection locked="0"/>
    </xf>
    <xf numFmtId="0" fontId="26" fillId="0" borderId="4" xfId="0" applyFont="1" applyBorder="1" applyAlignment="1">
      <alignment horizontal="left" vertical="top"/>
    </xf>
    <xf numFmtId="0" fontId="26" fillId="0" borderId="3" xfId="0" applyFont="1" applyBorder="1" applyAlignment="1">
      <alignment horizontal="left" vertical="top"/>
    </xf>
    <xf numFmtId="0" fontId="27" fillId="0" borderId="0" xfId="0" applyFont="1" applyBorder="1" applyAlignment="1">
      <alignment vertical="top" wrapText="1"/>
    </xf>
    <xf numFmtId="0" fontId="33" fillId="0" borderId="0" xfId="0" applyFont="1" applyAlignment="1">
      <alignment vertical="top" wrapText="1"/>
    </xf>
    <xf numFmtId="0" fontId="27" fillId="0" borderId="1" xfId="0" applyFont="1" applyBorder="1" applyAlignment="1">
      <alignment horizontal="center" vertical="top" wrapText="1"/>
    </xf>
    <xf numFmtId="0" fontId="27" fillId="0" borderId="2" xfId="0" applyFont="1" applyBorder="1" applyAlignment="1">
      <alignment horizontal="center" vertical="top" wrapText="1"/>
    </xf>
    <xf numFmtId="0" fontId="27" fillId="0" borderId="8" xfId="0" applyFont="1" applyBorder="1" applyAlignment="1">
      <alignment horizontal="center" vertical="top" wrapText="1"/>
    </xf>
    <xf numFmtId="0" fontId="26" fillId="0" borderId="4" xfId="0" applyFont="1" applyBorder="1" applyAlignment="1">
      <alignment vertical="top" wrapText="1"/>
    </xf>
    <xf numFmtId="0" fontId="26" fillId="0" borderId="3" xfId="0" applyFont="1" applyBorder="1" applyAlignment="1">
      <alignment vertical="top" wrapText="1"/>
    </xf>
    <xf numFmtId="0" fontId="0" fillId="0" borderId="1" xfId="0" applyFont="1" applyBorder="1" applyAlignment="1">
      <alignment horizontal="center" vertical="top" wrapText="1"/>
    </xf>
    <xf numFmtId="0" fontId="26" fillId="0" borderId="14" xfId="0" applyFont="1" applyBorder="1" applyAlignment="1">
      <alignment horizontal="center" vertical="top" wrapText="1"/>
    </xf>
    <xf numFmtId="0" fontId="26" fillId="0" borderId="7" xfId="0" applyFont="1" applyBorder="1" applyAlignment="1">
      <alignment horizontal="center" vertical="top" wrapText="1"/>
    </xf>
    <xf numFmtId="0" fontId="26" fillId="0" borderId="11" xfId="0" applyFont="1" applyBorder="1" applyAlignment="1">
      <alignment horizontal="center" vertical="top" wrapText="1"/>
    </xf>
    <xf numFmtId="0" fontId="27" fillId="0" borderId="13" xfId="0" applyFont="1" applyBorder="1" applyAlignment="1">
      <alignment horizontal="center" vertical="top" wrapText="1"/>
    </xf>
    <xf numFmtId="0" fontId="0" fillId="0" borderId="13" xfId="0" applyFont="1" applyBorder="1" applyAlignment="1">
      <alignment horizontal="center" vertical="top" wrapText="1"/>
    </xf>
    <xf numFmtId="0" fontId="32" fillId="0" borderId="5" xfId="0" applyFont="1" applyBorder="1" applyAlignment="1">
      <alignment horizontal="left" vertical="top" wrapText="1"/>
    </xf>
    <xf numFmtId="0" fontId="32" fillId="0" borderId="4" xfId="0" applyFont="1" applyBorder="1" applyAlignment="1">
      <alignment horizontal="left" vertical="top" wrapText="1"/>
    </xf>
    <xf numFmtId="0" fontId="3" fillId="0" borderId="0" xfId="0" applyFont="1" applyBorder="1" applyAlignment="1">
      <alignment vertical="top" wrapText="1"/>
    </xf>
    <xf numFmtId="0" fontId="8" fillId="0" borderId="5" xfId="0" applyFont="1" applyBorder="1" applyAlignment="1" applyProtection="1">
      <alignment horizontal="center" vertical="top"/>
      <protection locked="0"/>
    </xf>
    <xf numFmtId="0" fontId="8" fillId="0" borderId="4" xfId="0" applyFont="1" applyBorder="1" applyAlignment="1">
      <alignment horizontal="center" vertical="top"/>
    </xf>
    <xf numFmtId="0" fontId="8" fillId="0" borderId="3" xfId="0" applyFont="1" applyBorder="1" applyAlignment="1">
      <alignment horizontal="center" vertical="top"/>
    </xf>
    <xf numFmtId="0" fontId="2" fillId="0" borderId="5" xfId="0" applyFont="1" applyBorder="1" applyAlignment="1">
      <alignment horizontal="left" vertical="top" wrapText="1"/>
    </xf>
    <xf numFmtId="0" fontId="2" fillId="0" borderId="4" xfId="0" applyFont="1" applyBorder="1" applyAlignment="1">
      <alignment horizontal="left" vertical="top" wrapText="1"/>
    </xf>
    <xf numFmtId="0" fontId="2" fillId="0" borderId="3" xfId="0" applyFont="1" applyBorder="1" applyAlignment="1">
      <alignment horizontal="left" vertical="top" wrapText="1"/>
    </xf>
    <xf numFmtId="2" fontId="8" fillId="0" borderId="5" xfId="0" applyNumberFormat="1" applyFont="1" applyBorder="1" applyAlignment="1">
      <alignment horizontal="center" vertical="top" wrapText="1"/>
    </xf>
    <xf numFmtId="2" fontId="12" fillId="0" borderId="4" xfId="0" applyNumberFormat="1" applyFont="1" applyBorder="1" applyAlignment="1">
      <alignment vertical="top" wrapText="1"/>
    </xf>
    <xf numFmtId="2" fontId="12" fillId="0" borderId="3" xfId="0" applyNumberFormat="1" applyFont="1" applyBorder="1" applyAlignment="1">
      <alignment vertical="top" wrapText="1"/>
    </xf>
    <xf numFmtId="0" fontId="10" fillId="0" borderId="6" xfId="0" applyFont="1" applyBorder="1" applyAlignment="1">
      <alignment horizontal="left" vertical="top" wrapText="1"/>
    </xf>
    <xf numFmtId="0" fontId="0" fillId="0" borderId="6" xfId="0" applyBorder="1" applyAlignment="1">
      <alignment vertical="top"/>
    </xf>
    <xf numFmtId="0" fontId="3" fillId="0" borderId="0" xfId="0" applyFont="1" applyAlignment="1">
      <alignment vertical="top" wrapText="1"/>
    </xf>
    <xf numFmtId="0" fontId="14" fillId="0" borderId="0" xfId="0" applyFont="1" applyAlignment="1">
      <alignment vertical="top" wrapText="1"/>
    </xf>
    <xf numFmtId="0" fontId="0" fillId="0" borderId="0" xfId="0" applyAlignment="1">
      <alignment vertical="top"/>
    </xf>
    <xf numFmtId="0" fontId="12" fillId="0" borderId="0" xfId="0" applyFont="1" applyAlignment="1">
      <alignment vertical="top" wrapText="1"/>
    </xf>
    <xf numFmtId="0" fontId="8" fillId="0" borderId="5" xfId="0" applyFont="1" applyBorder="1" applyAlignment="1">
      <alignment vertical="top" wrapText="1"/>
    </xf>
    <xf numFmtId="0" fontId="8" fillId="0" borderId="4" xfId="0" applyFont="1" applyBorder="1" applyAlignment="1">
      <alignment vertical="top" wrapText="1"/>
    </xf>
    <xf numFmtId="0" fontId="8" fillId="0" borderId="3" xfId="0" applyFont="1" applyBorder="1" applyAlignment="1">
      <alignment vertical="top" wrapText="1"/>
    </xf>
    <xf numFmtId="0" fontId="9" fillId="0" borderId="0" xfId="0" applyFont="1" applyAlignment="1">
      <alignment horizontal="left" vertical="top" wrapText="1"/>
    </xf>
    <xf numFmtId="0" fontId="9" fillId="0" borderId="4" xfId="0" applyFont="1" applyBorder="1" applyAlignment="1">
      <alignment vertical="top" wrapText="1"/>
    </xf>
    <xf numFmtId="0" fontId="9" fillId="0" borderId="3" xfId="0" applyFont="1" applyBorder="1" applyAlignment="1">
      <alignment vertical="top" wrapText="1"/>
    </xf>
    <xf numFmtId="0" fontId="10" fillId="0" borderId="10" xfId="0" applyNumberFormat="1" applyFont="1" applyBorder="1" applyAlignment="1">
      <alignment vertical="top" wrapText="1"/>
    </xf>
    <xf numFmtId="0" fontId="23" fillId="0" borderId="5" xfId="0" applyFont="1" applyBorder="1" applyAlignment="1">
      <alignment horizontal="left" vertical="top" wrapText="1"/>
    </xf>
    <xf numFmtId="0" fontId="23" fillId="0" borderId="4" xfId="0" applyFont="1" applyBorder="1" applyAlignment="1">
      <alignment horizontal="left" vertical="top" wrapText="1"/>
    </xf>
    <xf numFmtId="0" fontId="10" fillId="0" borderId="10" xfId="0" applyFont="1" applyBorder="1" applyAlignment="1">
      <alignment vertical="top" wrapText="1"/>
    </xf>
    <xf numFmtId="0" fontId="22" fillId="0" borderId="2" xfId="0" applyFont="1" applyBorder="1" applyAlignment="1">
      <alignment horizontal="center" vertical="top" wrapText="1"/>
    </xf>
    <xf numFmtId="0" fontId="22" fillId="0" borderId="13" xfId="0" applyFont="1" applyBorder="1" applyAlignment="1">
      <alignment horizontal="center" vertical="top" wrapText="1"/>
    </xf>
    <xf numFmtId="0" fontId="8" fillId="0" borderId="1" xfId="0" applyFont="1" applyBorder="1" applyAlignment="1">
      <alignment horizontal="center" vertical="top" wrapText="1"/>
    </xf>
    <xf numFmtId="0" fontId="15" fillId="0" borderId="0" xfId="0" applyFont="1" applyBorder="1" applyAlignment="1">
      <alignment vertical="top" wrapText="1"/>
    </xf>
    <xf numFmtId="0" fontId="13"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3" xfId="0" applyFont="1" applyBorder="1" applyAlignment="1">
      <alignment horizontal="center" vertical="top" wrapText="1"/>
    </xf>
    <xf numFmtId="0" fontId="10" fillId="0" borderId="6" xfId="0" applyNumberFormat="1" applyFont="1" applyBorder="1" applyAlignment="1">
      <alignment vertical="top" wrapText="1"/>
    </xf>
    <xf numFmtId="0" fontId="10" fillId="0" borderId="9" xfId="0" applyNumberFormat="1" applyFont="1" applyBorder="1" applyAlignment="1">
      <alignment vertical="top" wrapText="1"/>
    </xf>
    <xf numFmtId="0" fontId="69" fillId="0" borderId="5" xfId="0" applyFont="1" applyBorder="1" applyAlignment="1">
      <alignment vertical="top" wrapText="1"/>
    </xf>
    <xf numFmtId="0" fontId="70" fillId="0" borderId="4" xfId="0" applyFont="1" applyBorder="1" applyAlignment="1">
      <alignment vertical="top" wrapText="1"/>
    </xf>
    <xf numFmtId="0" fontId="70" fillId="0" borderId="3" xfId="0" applyFont="1" applyBorder="1" applyAlignment="1">
      <alignment vertical="top" wrapText="1"/>
    </xf>
    <xf numFmtId="0" fontId="65" fillId="0" borderId="2" xfId="0" applyFont="1" applyBorder="1" applyAlignment="1">
      <alignment vertical="top" wrapText="1"/>
    </xf>
    <xf numFmtId="0" fontId="65" fillId="0" borderId="13" xfId="0" applyFont="1" applyBorder="1" applyAlignment="1">
      <alignment vertical="top" wrapText="1"/>
    </xf>
    <xf numFmtId="0" fontId="68" fillId="0" borderId="13" xfId="0" applyFont="1" applyBorder="1" applyAlignment="1">
      <alignment vertical="top" wrapText="1"/>
    </xf>
    <xf numFmtId="0" fontId="65" fillId="0" borderId="3" xfId="0" applyFont="1" applyBorder="1" applyAlignment="1">
      <alignment horizontal="center" vertical="top" wrapText="1"/>
    </xf>
    <xf numFmtId="0" fontId="68" fillId="0" borderId="8" xfId="0" applyFont="1" applyBorder="1" applyAlignment="1">
      <alignment vertical="top" wrapText="1"/>
    </xf>
    <xf numFmtId="0" fontId="64" fillId="0" borderId="5" xfId="0" applyFont="1" applyBorder="1" applyAlignment="1">
      <alignment vertical="top" wrapText="1"/>
    </xf>
    <xf numFmtId="0" fontId="68" fillId="0" borderId="4" xfId="0" applyFont="1" applyBorder="1" applyAlignment="1">
      <alignment vertical="top" wrapText="1"/>
    </xf>
    <xf numFmtId="0" fontId="68" fillId="0" borderId="3" xfId="0" applyFont="1" applyBorder="1" applyAlignment="1">
      <alignment vertical="top" wrapText="1"/>
    </xf>
    <xf numFmtId="0" fontId="65" fillId="0" borderId="4" xfId="0" applyFont="1" applyBorder="1" applyAlignment="1">
      <alignment vertical="top" wrapText="1"/>
    </xf>
    <xf numFmtId="0" fontId="65" fillId="0" borderId="3" xfId="0" applyFont="1" applyBorder="1" applyAlignment="1">
      <alignment vertical="top" wrapText="1"/>
    </xf>
    <xf numFmtId="0" fontId="65" fillId="0" borderId="2" xfId="0" applyFont="1" applyBorder="1" applyAlignment="1">
      <alignment vertical="top"/>
    </xf>
    <xf numFmtId="0" fontId="65" fillId="0" borderId="13" xfId="0" applyFont="1" applyBorder="1" applyAlignment="1">
      <alignment vertical="top"/>
    </xf>
    <xf numFmtId="0" fontId="68" fillId="0" borderId="13" xfId="0" applyFont="1" applyBorder="1" applyAlignment="1">
      <alignment vertical="top"/>
    </xf>
    <xf numFmtId="0" fontId="65" fillId="0" borderId="0" xfId="0" applyFont="1" applyBorder="1" applyAlignment="1">
      <alignment vertical="top" wrapText="1"/>
    </xf>
    <xf numFmtId="0" fontId="65" fillId="0" borderId="0" xfId="0" applyNumberFormat="1" applyFont="1" applyBorder="1" applyAlignment="1">
      <alignment vertical="top" wrapText="1"/>
    </xf>
    <xf numFmtId="0" fontId="65" fillId="0" borderId="0" xfId="0" applyFont="1" applyAlignment="1">
      <alignment vertical="top" wrapText="1"/>
    </xf>
    <xf numFmtId="0" fontId="64" fillId="0" borderId="1" xfId="0" applyFont="1" applyBorder="1" applyAlignment="1">
      <alignment vertical="top" wrapText="1"/>
    </xf>
    <xf numFmtId="0" fontId="65" fillId="0" borderId="1" xfId="0" applyFont="1" applyBorder="1" applyAlignment="1">
      <alignment vertical="top" wrapText="1"/>
    </xf>
    <xf numFmtId="0" fontId="72" fillId="0" borderId="0" xfId="0" applyFont="1" applyBorder="1" applyAlignment="1">
      <alignment horizontal="left" vertical="top" wrapText="1"/>
    </xf>
    <xf numFmtId="0" fontId="65" fillId="0" borderId="8" xfId="0" applyFont="1" applyBorder="1" applyAlignment="1">
      <alignment vertical="top"/>
    </xf>
    <xf numFmtId="0" fontId="65" fillId="0" borderId="0" xfId="0" applyNumberFormat="1" applyFont="1" applyBorder="1" applyAlignment="1">
      <alignment horizontal="left" vertical="top" wrapText="1"/>
    </xf>
    <xf numFmtId="0" fontId="70" fillId="0" borderId="0" xfId="0" applyFont="1" applyAlignment="1">
      <alignment horizontal="left"/>
    </xf>
    <xf numFmtId="0" fontId="68" fillId="0" borderId="0" xfId="0" applyFont="1" applyAlignment="1">
      <alignment horizontal="left"/>
    </xf>
    <xf numFmtId="0" fontId="71" fillId="0" borderId="5" xfId="0" applyFont="1" applyBorder="1" applyAlignment="1">
      <alignment horizontal="center" vertical="top" wrapText="1"/>
    </xf>
    <xf numFmtId="0" fontId="71" fillId="0" borderId="4" xfId="0" applyFont="1" applyBorder="1" applyAlignment="1">
      <alignment vertical="top" wrapText="1"/>
    </xf>
    <xf numFmtId="0" fontId="71" fillId="0" borderId="3" xfId="0" applyFont="1" applyBorder="1" applyAlignment="1">
      <alignment vertical="top" wrapText="1"/>
    </xf>
    <xf numFmtId="0" fontId="64" fillId="0" borderId="7" xfId="0" applyFont="1" applyBorder="1" applyAlignment="1">
      <alignment horizontal="center" vertical="top" wrapText="1"/>
    </xf>
    <xf numFmtId="0" fontId="64" fillId="0" borderId="4" xfId="0" applyFont="1" applyBorder="1" applyAlignment="1">
      <alignment vertical="top" wrapText="1"/>
    </xf>
    <xf numFmtId="0" fontId="64" fillId="0" borderId="3" xfId="0" applyFont="1" applyBorder="1" applyAlignment="1">
      <alignment vertical="top" wrapText="1"/>
    </xf>
    <xf numFmtId="0" fontId="68" fillId="0" borderId="1" xfId="0" applyFont="1" applyBorder="1" applyAlignment="1">
      <alignment vertical="top" wrapText="1"/>
    </xf>
    <xf numFmtId="0" fontId="64" fillId="0" borderId="5" xfId="0" applyFont="1" applyBorder="1" applyAlignment="1">
      <alignment horizontal="center" vertical="top" wrapText="1"/>
    </xf>
    <xf numFmtId="0" fontId="64" fillId="0" borderId="4" xfId="0" applyFont="1" applyBorder="1" applyAlignment="1">
      <alignment horizontal="center" vertical="top" wrapText="1"/>
    </xf>
    <xf numFmtId="0" fontId="64" fillId="0" borderId="3" xfId="0" applyFont="1" applyBorder="1" applyAlignment="1">
      <alignment horizontal="center" vertical="top" wrapText="1"/>
    </xf>
    <xf numFmtId="0" fontId="65" fillId="0" borderId="9" xfId="0" applyFont="1" applyBorder="1" applyAlignment="1">
      <alignment horizontal="center" vertical="top" wrapText="1"/>
    </xf>
    <xf numFmtId="0" fontId="65" fillId="0" borderId="11" xfId="0" applyFont="1" applyBorder="1" applyAlignment="1">
      <alignment horizontal="center" vertical="top" wrapText="1"/>
    </xf>
    <xf numFmtId="0" fontId="65" fillId="0" borderId="1" xfId="0" applyFont="1" applyBorder="1" applyAlignment="1">
      <alignment horizontal="center" vertical="top" wrapText="1"/>
    </xf>
    <xf numFmtId="0" fontId="65" fillId="0" borderId="2" xfId="0" applyFont="1" applyBorder="1" applyAlignment="1">
      <alignment horizontal="center" vertical="top" wrapText="1"/>
    </xf>
    <xf numFmtId="0" fontId="65" fillId="0" borderId="13" xfId="0" applyFont="1" applyBorder="1" applyAlignment="1">
      <alignment horizontal="center" vertical="top" wrapText="1"/>
    </xf>
    <xf numFmtId="0" fontId="65" fillId="0" borderId="8" xfId="0" applyFont="1" applyBorder="1" applyAlignment="1">
      <alignment horizontal="center" vertical="top" wrapText="1"/>
    </xf>
    <xf numFmtId="0" fontId="68" fillId="0" borderId="8" xfId="0" applyFont="1" applyBorder="1" applyAlignment="1">
      <alignment vertical="top"/>
    </xf>
    <xf numFmtId="0" fontId="64" fillId="0" borderId="5" xfId="0" applyFont="1" applyBorder="1" applyAlignment="1">
      <alignment horizontal="center" vertical="top"/>
    </xf>
    <xf numFmtId="0" fontId="68" fillId="0" borderId="4" xfId="0" applyFont="1" applyBorder="1" applyAlignment="1">
      <alignment horizontal="center" vertical="top"/>
    </xf>
    <xf numFmtId="0" fontId="68" fillId="0" borderId="3" xfId="0" applyFont="1" applyBorder="1" applyAlignment="1">
      <alignment horizontal="center" vertical="top"/>
    </xf>
    <xf numFmtId="0" fontId="65" fillId="0" borderId="2" xfId="0" applyFont="1" applyBorder="1" applyAlignment="1" applyProtection="1">
      <alignment horizontal="center" vertical="top"/>
      <protection locked="0"/>
    </xf>
    <xf numFmtId="0" fontId="65" fillId="0" borderId="8" xfId="0" applyFont="1" applyBorder="1" applyAlignment="1" applyProtection="1">
      <alignment horizontal="center" vertical="top"/>
      <protection locked="0"/>
    </xf>
    <xf numFmtId="0" fontId="64" fillId="0" borderId="5" xfId="0" applyFont="1" applyBorder="1" applyAlignment="1" applyProtection="1">
      <alignment vertical="top"/>
      <protection locked="0"/>
    </xf>
    <xf numFmtId="0" fontId="64" fillId="0" borderId="4" xfId="0" applyFont="1" applyBorder="1" applyAlignment="1">
      <alignment vertical="top"/>
    </xf>
    <xf numFmtId="0" fontId="64" fillId="0" borderId="3" xfId="0" applyFont="1" applyBorder="1" applyAlignment="1">
      <alignment vertical="top"/>
    </xf>
    <xf numFmtId="0" fontId="64" fillId="0" borderId="5" xfId="0" applyFont="1" applyBorder="1" applyAlignment="1">
      <alignment horizontal="left" vertical="top"/>
    </xf>
    <xf numFmtId="0" fontId="68" fillId="0" borderId="4" xfId="0" applyFont="1" applyBorder="1" applyAlignment="1">
      <alignment horizontal="left" vertical="top"/>
    </xf>
    <xf numFmtId="0" fontId="68" fillId="0" borderId="3" xfId="0" applyFont="1" applyBorder="1" applyAlignment="1">
      <alignment horizontal="left" vertical="top"/>
    </xf>
    <xf numFmtId="0" fontId="6" fillId="0" borderId="7" xfId="0" applyFont="1" applyBorder="1" applyAlignment="1">
      <alignment horizontal="center" vertical="top" wrapText="1"/>
    </xf>
    <xf numFmtId="0" fontId="5" fillId="0" borderId="0" xfId="0" applyFont="1" applyBorder="1" applyAlignment="1">
      <alignment vertical="top" wrapText="1"/>
    </xf>
    <xf numFmtId="0" fontId="40" fillId="0" borderId="0" xfId="0" applyFont="1" applyAlignment="1">
      <alignment vertical="top" wrapText="1"/>
    </xf>
    <xf numFmtId="0" fontId="40" fillId="0" borderId="0" xfId="0" applyFont="1" applyBorder="1" applyAlignment="1">
      <alignment vertical="top" wrapText="1"/>
    </xf>
    <xf numFmtId="0" fontId="39" fillId="0" borderId="7" xfId="0" applyFont="1" applyBorder="1" applyAlignment="1">
      <alignment horizontal="center" vertical="top" wrapText="1"/>
    </xf>
    <xf numFmtId="0" fontId="53" fillId="0" borderId="5" xfId="0" applyFont="1" applyBorder="1" applyAlignment="1">
      <alignment horizontal="left" vertical="top" wrapText="1"/>
    </xf>
    <xf numFmtId="0" fontId="54" fillId="0" borderId="4" xfId="0" applyFont="1" applyBorder="1" applyAlignment="1">
      <alignment horizontal="left" vertical="top" wrapText="1"/>
    </xf>
    <xf numFmtId="0" fontId="53" fillId="0" borderId="4" xfId="0" applyFont="1" applyBorder="1" applyAlignment="1">
      <alignment horizontal="left" vertical="top" wrapText="1"/>
    </xf>
    <xf numFmtId="0" fontId="55" fillId="0" borderId="3" xfId="0" applyFont="1" applyBorder="1" applyAlignment="1">
      <alignment horizontal="left" wrapText="1"/>
    </xf>
    <xf numFmtId="0" fontId="45" fillId="0" borderId="0" xfId="0" applyFont="1" applyBorder="1" applyAlignment="1">
      <alignment horizontal="center" vertical="top" wrapText="1"/>
    </xf>
    <xf numFmtId="0" fontId="46" fillId="0" borderId="0" xfId="0" applyFont="1" applyAlignment="1">
      <alignment horizontal="center" vertical="top" wrapText="1"/>
    </xf>
    <xf numFmtId="0" fontId="48" fillId="0" borderId="2" xfId="0" applyFont="1" applyBorder="1" applyAlignment="1">
      <alignment horizontal="center" vertical="top"/>
    </xf>
    <xf numFmtId="0" fontId="48" fillId="0" borderId="13" xfId="0" applyFont="1" applyBorder="1" applyAlignment="1">
      <alignment horizontal="center" vertical="top"/>
    </xf>
    <xf numFmtId="0" fontId="48" fillId="0" borderId="8" xfId="0" applyFont="1" applyBorder="1" applyAlignment="1">
      <alignment horizontal="center" vertical="top"/>
    </xf>
    <xf numFmtId="0" fontId="45" fillId="0" borderId="5" xfId="0" applyFont="1" applyBorder="1" applyAlignment="1">
      <alignment horizontal="center" vertical="top"/>
    </xf>
    <xf numFmtId="0" fontId="49" fillId="0" borderId="4" xfId="0" applyFont="1" applyBorder="1" applyAlignment="1">
      <alignment horizontal="center"/>
    </xf>
    <xf numFmtId="0" fontId="49" fillId="0" borderId="3" xfId="0" applyFont="1" applyBorder="1" applyAlignment="1">
      <alignment horizontal="center"/>
    </xf>
    <xf numFmtId="0" fontId="46" fillId="0" borderId="4" xfId="0" applyFont="1" applyBorder="1" applyAlignment="1">
      <alignment horizontal="center"/>
    </xf>
    <xf numFmtId="0" fontId="46" fillId="0" borderId="3" xfId="0" applyFont="1" applyBorder="1" applyAlignment="1">
      <alignment horizontal="center"/>
    </xf>
    <xf numFmtId="0" fontId="45" fillId="0" borderId="5" xfId="0" applyFont="1" applyBorder="1" applyAlignment="1">
      <alignment horizontal="center" vertical="justify" wrapText="1"/>
    </xf>
    <xf numFmtId="0" fontId="47" fillId="0" borderId="4" xfId="0" applyFont="1" applyBorder="1" applyAlignment="1">
      <alignment horizontal="center" vertical="top"/>
    </xf>
    <xf numFmtId="0" fontId="45" fillId="0" borderId="4" xfId="0" applyFont="1" applyBorder="1" applyAlignment="1">
      <alignment horizontal="center" vertical="top"/>
    </xf>
    <xf numFmtId="0" fontId="54" fillId="0" borderId="4" xfId="0" applyFont="1" applyBorder="1" applyAlignment="1">
      <alignment horizontal="center" vertical="top" wrapText="1"/>
    </xf>
    <xf numFmtId="0" fontId="53" fillId="0" borderId="4" xfId="0" applyFont="1" applyBorder="1" applyAlignment="1">
      <alignment horizontal="center" vertical="top" wrapText="1"/>
    </xf>
    <xf numFmtId="0" fontId="55" fillId="0" borderId="3" xfId="0" applyFont="1" applyBorder="1" applyAlignment="1">
      <alignment horizontal="center" wrapText="1"/>
    </xf>
    <xf numFmtId="0" fontId="48" fillId="0" borderId="2" xfId="0" applyFont="1" applyBorder="1" applyAlignment="1">
      <alignment horizontal="center" vertical="top" wrapText="1"/>
    </xf>
    <xf numFmtId="0" fontId="51" fillId="0" borderId="13" xfId="0" applyFont="1" applyBorder="1" applyAlignment="1">
      <alignment horizontal="center" vertical="top" wrapText="1"/>
    </xf>
    <xf numFmtId="0" fontId="48" fillId="0" borderId="1" xfId="0" applyFont="1" applyBorder="1" applyAlignment="1">
      <alignment horizontal="center" vertical="top" wrapText="1"/>
    </xf>
    <xf numFmtId="0" fontId="51" fillId="0" borderId="1" xfId="0" applyFont="1" applyBorder="1" applyAlignment="1">
      <alignment horizontal="center" vertical="top" wrapText="1"/>
    </xf>
    <xf numFmtId="0" fontId="47" fillId="0" borderId="15" xfId="0" applyFont="1" applyBorder="1" applyAlignment="1">
      <alignment horizontal="center" vertical="top" wrapText="1"/>
    </xf>
    <xf numFmtId="0" fontId="47" fillId="0" borderId="12" xfId="0" applyFont="1" applyBorder="1" applyAlignment="1">
      <alignment horizontal="center" vertical="top" wrapText="1"/>
    </xf>
    <xf numFmtId="0" fontId="47" fillId="0" borderId="14" xfId="0" applyFont="1" applyBorder="1" applyAlignment="1">
      <alignment horizontal="center" vertical="top" wrapText="1"/>
    </xf>
    <xf numFmtId="0" fontId="48" fillId="0" borderId="13" xfId="0" applyFont="1" applyBorder="1" applyAlignment="1">
      <alignment horizontal="center" vertical="top" wrapText="1"/>
    </xf>
    <xf numFmtId="0" fontId="48" fillId="0" borderId="8" xfId="0" applyFont="1" applyBorder="1" applyAlignment="1">
      <alignment horizontal="center" vertical="top" wrapText="1"/>
    </xf>
    <xf numFmtId="0" fontId="47" fillId="0" borderId="2" xfId="0" applyFont="1" applyBorder="1" applyAlignment="1">
      <alignment horizontal="center" vertical="top" wrapText="1"/>
    </xf>
    <xf numFmtId="0" fontId="47" fillId="0" borderId="13" xfId="0" applyFont="1" applyBorder="1" applyAlignment="1">
      <alignment horizontal="center" vertical="top" wrapText="1"/>
    </xf>
    <xf numFmtId="0" fontId="47" fillId="0" borderId="8" xfId="0" applyFont="1" applyBorder="1" applyAlignment="1">
      <alignment horizontal="center" vertical="top" wrapText="1"/>
    </xf>
    <xf numFmtId="0" fontId="53" fillId="0" borderId="5" xfId="0" applyFont="1" applyBorder="1" applyAlignment="1">
      <alignment horizontal="center" vertical="top" wrapText="1"/>
    </xf>
    <xf numFmtId="0" fontId="53" fillId="0" borderId="3" xfId="0" applyFont="1" applyBorder="1" applyAlignment="1">
      <alignment horizontal="center" vertical="top" wrapText="1"/>
    </xf>
    <xf numFmtId="0" fontId="45" fillId="0" borderId="4" xfId="0" applyFont="1" applyBorder="1" applyAlignment="1">
      <alignment horizontal="left" vertical="top" wrapText="1"/>
    </xf>
    <xf numFmtId="0" fontId="45" fillId="0" borderId="3" xfId="0" applyFont="1" applyBorder="1" applyAlignment="1">
      <alignment horizontal="left" vertical="top" wrapText="1"/>
    </xf>
    <xf numFmtId="0" fontId="11" fillId="0" borderId="2" xfId="0" applyFont="1" applyBorder="1" applyAlignment="1">
      <alignment horizontal="center" vertical="top" wrapText="1"/>
    </xf>
    <xf numFmtId="0" fontId="11" fillId="0" borderId="8" xfId="0" applyFont="1" applyBorder="1" applyAlignment="1">
      <alignment horizontal="center" vertical="top" wrapText="1"/>
    </xf>
    <xf numFmtId="0" fontId="47" fillId="0" borderId="6" xfId="0" applyFont="1" applyBorder="1" applyAlignment="1">
      <alignment horizontal="center" vertical="top" wrapText="1"/>
    </xf>
    <xf numFmtId="0" fontId="47" fillId="0" borderId="7" xfId="0" applyFont="1" applyBorder="1" applyAlignment="1">
      <alignment horizontal="center" vertical="top" wrapText="1"/>
    </xf>
    <xf numFmtId="0" fontId="48" fillId="0" borderId="9" xfId="0" applyFont="1" applyBorder="1" applyAlignment="1">
      <alignment horizontal="center" vertical="top"/>
    </xf>
    <xf numFmtId="0" fontId="48" fillId="0" borderId="11" xfId="0" applyFont="1" applyBorder="1" applyAlignment="1">
      <alignment horizontal="center" vertical="top"/>
    </xf>
    <xf numFmtId="0" fontId="47" fillId="0" borderId="0" xfId="0" applyFont="1" applyBorder="1" applyAlignment="1">
      <alignment horizontal="left" vertical="top" wrapText="1"/>
    </xf>
    <xf numFmtId="0" fontId="51" fillId="0" borderId="0" xfId="0" applyFont="1" applyBorder="1" applyAlignment="1"/>
    <xf numFmtId="0" fontId="45" fillId="0" borderId="5" xfId="0" applyFont="1" applyBorder="1" applyAlignment="1">
      <alignment horizontal="left" vertical="top" wrapText="1"/>
    </xf>
    <xf numFmtId="0" fontId="45" fillId="0" borderId="1" xfId="0" applyFont="1" applyBorder="1" applyAlignment="1">
      <alignment vertical="top"/>
    </xf>
    <xf numFmtId="0" fontId="47" fillId="0" borderId="1" xfId="0" applyFont="1" applyBorder="1" applyAlignment="1">
      <alignment vertical="top"/>
    </xf>
    <xf numFmtId="0" fontId="49" fillId="0" borderId="4" xfId="0" applyFont="1" applyBorder="1" applyAlignment="1">
      <alignment horizontal="center" vertical="top"/>
    </xf>
    <xf numFmtId="0" fontId="49" fillId="0" borderId="3" xfId="0" applyFont="1" applyBorder="1" applyAlignment="1">
      <alignment horizontal="center" vertical="top"/>
    </xf>
    <xf numFmtId="0" fontId="45" fillId="0" borderId="15" xfId="0" applyFont="1" applyBorder="1" applyAlignment="1">
      <alignment horizontal="center" vertical="top"/>
    </xf>
    <xf numFmtId="0" fontId="45" fillId="0" borderId="5" xfId="0" applyFont="1" applyBorder="1" applyAlignment="1">
      <alignment horizontal="center" vertical="top" wrapText="1"/>
    </xf>
    <xf numFmtId="0" fontId="46" fillId="0" borderId="4" xfId="0" applyFont="1" applyBorder="1" applyAlignment="1">
      <alignment horizontal="center" wrapText="1"/>
    </xf>
    <xf numFmtId="0" fontId="46" fillId="0" borderId="3" xfId="0" applyFont="1" applyBorder="1" applyAlignment="1">
      <alignment horizontal="center" wrapText="1"/>
    </xf>
    <xf numFmtId="0" fontId="48" fillId="0" borderId="12" xfId="0" applyFont="1" applyBorder="1" applyAlignment="1">
      <alignment horizontal="center" vertical="top"/>
    </xf>
    <xf numFmtId="0" fontId="48" fillId="0" borderId="14" xfId="0" applyFont="1" applyBorder="1" applyAlignment="1">
      <alignment horizontal="center" vertical="top"/>
    </xf>
    <xf numFmtId="0" fontId="48" fillId="0" borderId="1" xfId="0" applyFont="1" applyBorder="1" applyAlignment="1">
      <alignment horizontal="center" vertical="top"/>
    </xf>
    <xf numFmtId="0" fontId="8" fillId="0" borderId="14" xfId="0" applyFont="1" applyBorder="1" applyAlignment="1">
      <alignment horizontal="center" vertical="top"/>
    </xf>
    <xf numFmtId="0" fontId="45" fillId="0" borderId="7" xfId="0" applyFont="1" applyBorder="1" applyAlignment="1">
      <alignment horizontal="center" vertical="top"/>
    </xf>
    <xf numFmtId="0" fontId="47" fillId="0" borderId="6" xfId="0" applyFont="1" applyBorder="1" applyAlignment="1">
      <alignment horizontal="left" vertical="top"/>
    </xf>
    <xf numFmtId="0" fontId="52" fillId="0" borderId="0" xfId="0" applyFont="1" applyBorder="1" applyAlignment="1">
      <alignment vertical="top" wrapText="1"/>
    </xf>
    <xf numFmtId="0" fontId="51" fillId="0" borderId="0" xfId="0" applyFont="1" applyAlignment="1">
      <alignment vertical="top" wrapText="1"/>
    </xf>
    <xf numFmtId="0" fontId="59" fillId="0" borderId="0" xfId="0" applyFont="1" applyBorder="1" applyAlignment="1">
      <alignment vertical="top" wrapText="1"/>
    </xf>
    <xf numFmtId="0" fontId="60" fillId="0" borderId="0" xfId="0" applyFont="1" applyAlignment="1">
      <alignment vertical="top" wrapText="1"/>
    </xf>
    <xf numFmtId="0" fontId="61" fillId="0" borderId="0" xfId="0" applyFont="1" applyBorder="1" applyAlignment="1">
      <alignment vertical="top" wrapText="1"/>
    </xf>
    <xf numFmtId="0" fontId="48" fillId="0" borderId="0" xfId="0" applyFont="1" applyBorder="1" applyAlignment="1">
      <alignment vertical="top" wrapText="1"/>
    </xf>
    <xf numFmtId="0" fontId="47" fillId="0" borderId="0" xfId="0" applyFont="1" applyBorder="1" applyAlignment="1">
      <alignment vertical="top" wrapText="1"/>
    </xf>
    <xf numFmtId="0" fontId="62" fillId="0" borderId="0" xfId="0" applyFont="1" applyBorder="1" applyAlignment="1">
      <alignment vertical="top" wrapText="1"/>
    </xf>
    <xf numFmtId="0" fontId="48" fillId="0" borderId="0" xfId="0" applyFont="1" applyBorder="1" applyAlignment="1">
      <alignment horizontal="left" vertical="top"/>
    </xf>
    <xf numFmtId="0" fontId="54" fillId="0" borderId="0" xfId="0" applyFont="1" applyAlignment="1">
      <alignment horizontal="left"/>
    </xf>
    <xf numFmtId="0" fontId="51" fillId="0" borderId="0" xfId="0" applyFont="1" applyAlignment="1">
      <alignment horizontal="left"/>
    </xf>
    <xf numFmtId="2" fontId="61" fillId="0" borderId="5" xfId="0" applyNumberFormat="1" applyFont="1" applyBorder="1" applyAlignment="1">
      <alignment wrapText="1"/>
    </xf>
    <xf numFmtId="0" fontId="51" fillId="0" borderId="4" xfId="0" applyFont="1" applyBorder="1" applyAlignment="1">
      <alignment wrapText="1"/>
    </xf>
    <xf numFmtId="0" fontId="51" fillId="0" borderId="3" xfId="0" applyFont="1" applyBorder="1" applyAlignment="1">
      <alignment wrapText="1"/>
    </xf>
    <xf numFmtId="4" fontId="47" fillId="0" borderId="0" xfId="0" applyNumberFormat="1" applyFont="1" applyAlignment="1"/>
    <xf numFmtId="0" fontId="51" fillId="0" borderId="0" xfId="0" applyFont="1" applyAlignment="1"/>
    <xf numFmtId="0" fontId="47" fillId="0" borderId="5" xfId="0" applyNumberFormat="1" applyFont="1" applyBorder="1" applyAlignment="1">
      <alignment wrapText="1"/>
    </xf>
    <xf numFmtId="0" fontId="57" fillId="0" borderId="1" xfId="0" applyFont="1" applyBorder="1" applyAlignment="1">
      <alignment wrapText="1"/>
    </xf>
    <xf numFmtId="0" fontId="54" fillId="0" borderId="5" xfId="0" applyFont="1" applyBorder="1" applyAlignment="1">
      <alignment wrapText="1"/>
    </xf>
    <xf numFmtId="0" fontId="54" fillId="0" borderId="4" xfId="0" applyFont="1" applyBorder="1" applyAlignment="1">
      <alignment wrapText="1"/>
    </xf>
    <xf numFmtId="0" fontId="55" fillId="0" borderId="3" xfId="0" applyFont="1" applyBorder="1" applyAlignment="1">
      <alignment wrapText="1"/>
    </xf>
    <xf numFmtId="0" fontId="47" fillId="0" borderId="5" xfId="0" applyFont="1" applyBorder="1" applyAlignment="1">
      <alignment wrapText="1"/>
    </xf>
    <xf numFmtId="0" fontId="47" fillId="0" borderId="4" xfId="0" applyFont="1" applyBorder="1" applyAlignment="1">
      <alignment wrapText="1"/>
    </xf>
    <xf numFmtId="0" fontId="47" fillId="0" borderId="3" xfId="0" applyFont="1" applyBorder="1" applyAlignment="1">
      <alignment wrapText="1"/>
    </xf>
    <xf numFmtId="0" fontId="11" fillId="0" borderId="0" xfId="0" applyFont="1" applyBorder="1" applyAlignment="1">
      <alignment horizontal="left" vertical="top"/>
    </xf>
    <xf numFmtId="0" fontId="19" fillId="0" borderId="0" xfId="0" applyFont="1" applyAlignment="1">
      <alignment horizontal="left"/>
    </xf>
    <xf numFmtId="0" fontId="0" fillId="0" borderId="0" xfId="0" applyAlignment="1">
      <alignment horizontal="left"/>
    </xf>
    <xf numFmtId="0" fontId="11" fillId="0" borderId="0" xfId="0" applyFont="1" applyBorder="1" applyAlignment="1">
      <alignment vertical="top" wrapText="1"/>
    </xf>
    <xf numFmtId="0" fontId="18" fillId="0" borderId="0" xfId="0" applyFont="1" applyAlignment="1">
      <alignment vertical="top" wrapText="1"/>
    </xf>
    <xf numFmtId="0" fontId="2" fillId="0" borderId="0" xfId="0" applyFont="1" applyBorder="1" applyAlignment="1">
      <alignment vertical="top" wrapText="1"/>
    </xf>
    <xf numFmtId="0" fontId="21" fillId="0" borderId="0" xfId="0" applyFont="1" applyBorder="1" applyAlignment="1">
      <alignment vertical="top" wrapText="1"/>
    </xf>
    <xf numFmtId="0" fontId="8" fillId="0" borderId="5" xfId="0" applyFont="1" applyBorder="1" applyAlignment="1">
      <alignment horizontal="center" vertical="top"/>
    </xf>
    <xf numFmtId="0" fontId="0" fillId="0" borderId="4" xfId="0" applyBorder="1" applyAlignment="1">
      <alignment horizontal="center" vertical="top"/>
    </xf>
    <xf numFmtId="0" fontId="0" fillId="0" borderId="3" xfId="0" applyBorder="1" applyAlignment="1">
      <alignment horizontal="center" vertical="top"/>
    </xf>
    <xf numFmtId="0" fontId="8" fillId="0" borderId="5" xfId="0" applyFont="1" applyBorder="1" applyAlignment="1">
      <alignment vertical="top"/>
    </xf>
    <xf numFmtId="0" fontId="5" fillId="0" borderId="4" xfId="0" applyFont="1" applyBorder="1" applyAlignment="1">
      <alignment vertical="top"/>
    </xf>
    <xf numFmtId="0" fontId="5" fillId="0" borderId="3" xfId="0" applyFont="1" applyBorder="1" applyAlignment="1">
      <alignment vertical="top"/>
    </xf>
    <xf numFmtId="0" fontId="8" fillId="0" borderId="7" xfId="0" applyFont="1" applyBorder="1" applyAlignment="1">
      <alignment horizontal="center" vertical="top"/>
    </xf>
    <xf numFmtId="0" fontId="10" fillId="0" borderId="6" xfId="0" applyFont="1" applyBorder="1" applyAlignment="1">
      <alignment horizontal="left" vertical="top"/>
    </xf>
    <xf numFmtId="0" fontId="8" fillId="0" borderId="1" xfId="0" applyFont="1" applyBorder="1" applyAlignment="1">
      <alignment vertical="top"/>
    </xf>
    <xf numFmtId="0" fontId="10" fillId="0" borderId="1" xfId="0" applyFont="1" applyBorder="1" applyAlignment="1">
      <alignment vertical="top"/>
    </xf>
    <xf numFmtId="0" fontId="11" fillId="0" borderId="2" xfId="0" applyFont="1" applyBorder="1" applyAlignment="1">
      <alignment vertical="top"/>
    </xf>
    <xf numFmtId="0" fontId="11" fillId="0" borderId="13" xfId="0" applyFont="1" applyBorder="1" applyAlignment="1">
      <alignment vertical="top"/>
    </xf>
    <xf numFmtId="0" fontId="11" fillId="0" borderId="8" xfId="0" applyFont="1" applyBorder="1" applyAlignment="1">
      <alignment vertical="top"/>
    </xf>
    <xf numFmtId="0" fontId="9" fillId="0" borderId="4" xfId="0" applyFont="1" applyBorder="1" applyAlignment="1">
      <alignment horizontal="center"/>
    </xf>
    <xf numFmtId="0" fontId="9" fillId="0" borderId="3" xfId="0" applyFont="1" applyBorder="1" applyAlignment="1">
      <alignment horizontal="center"/>
    </xf>
    <xf numFmtId="0" fontId="12" fillId="0" borderId="4" xfId="0" applyFont="1" applyBorder="1" applyAlignment="1">
      <alignment horizontal="center" vertical="top"/>
    </xf>
    <xf numFmtId="0" fontId="12" fillId="0" borderId="3" xfId="0" applyFont="1" applyBorder="1" applyAlignment="1">
      <alignment horizontal="center"/>
    </xf>
    <xf numFmtId="0" fontId="10" fillId="0" borderId="1" xfId="0" applyFont="1" applyBorder="1" applyAlignment="1">
      <alignment horizontal="center" vertical="top"/>
    </xf>
    <xf numFmtId="0" fontId="11" fillId="0" borderId="2" xfId="0" applyFont="1" applyBorder="1" applyAlignment="1">
      <alignment horizontal="center" vertical="top"/>
    </xf>
    <xf numFmtId="0" fontId="11" fillId="0" borderId="13" xfId="0" applyFont="1" applyBorder="1" applyAlignment="1">
      <alignment horizontal="center" vertical="top"/>
    </xf>
    <xf numFmtId="0" fontId="9" fillId="0" borderId="0" xfId="0" applyFont="1" applyAlignment="1">
      <alignment horizontal="center" vertical="top" wrapText="1"/>
    </xf>
    <xf numFmtId="0" fontId="10" fillId="0" borderId="0" xfId="0" applyFont="1" applyAlignment="1"/>
    <xf numFmtId="0" fontId="9" fillId="0" borderId="4" xfId="0" applyFont="1" applyBorder="1" applyAlignment="1">
      <alignment wrapText="1"/>
    </xf>
    <xf numFmtId="0" fontId="9" fillId="0" borderId="3" xfId="0" applyFont="1" applyBorder="1" applyAlignment="1">
      <alignment wrapText="1"/>
    </xf>
    <xf numFmtId="0" fontId="0" fillId="0" borderId="13" xfId="0" applyBorder="1" applyAlignment="1">
      <alignment vertical="top"/>
    </xf>
    <xf numFmtId="0" fontId="0" fillId="0" borderId="8" xfId="0" applyBorder="1" applyAlignment="1">
      <alignment vertical="top"/>
    </xf>
    <xf numFmtId="0" fontId="10" fillId="0" borderId="2" xfId="0" applyFont="1" applyBorder="1" applyAlignment="1">
      <alignment horizontal="center" vertical="top"/>
    </xf>
    <xf numFmtId="0" fontId="10" fillId="0" borderId="8" xfId="0" applyFont="1" applyBorder="1" applyAlignment="1">
      <alignment horizontal="center" vertical="top"/>
    </xf>
    <xf numFmtId="0" fontId="8" fillId="0" borderId="5" xfId="0" applyFont="1" applyBorder="1" applyAlignment="1">
      <alignment horizontal="center" vertical="justify" wrapText="1"/>
    </xf>
    <xf numFmtId="0" fontId="12" fillId="0" borderId="4" xfId="0" applyFont="1" applyBorder="1" applyAlignment="1">
      <alignment horizontal="center"/>
    </xf>
    <xf numFmtId="0" fontId="47" fillId="0" borderId="2" xfId="0" applyFont="1" applyBorder="1" applyAlignment="1">
      <alignment horizontal="center" vertical="top"/>
    </xf>
    <xf numFmtId="0" fontId="47" fillId="0" borderId="8" xfId="0" applyFont="1" applyBorder="1" applyAlignment="1">
      <alignment horizontal="center" vertical="top"/>
    </xf>
    <xf numFmtId="0" fontId="57" fillId="0" borderId="1" xfId="0" applyNumberFormat="1" applyFont="1" applyBorder="1" applyAlignment="1">
      <alignment wrapText="1"/>
    </xf>
    <xf numFmtId="0" fontId="63" fillId="0" borderId="1" xfId="0" applyFont="1" applyBorder="1" applyAlignment="1">
      <alignment wrapText="1"/>
    </xf>
    <xf numFmtId="0" fontId="54" fillId="0" borderId="1" xfId="0" applyNumberFormat="1" applyFont="1" applyBorder="1" applyAlignment="1">
      <alignment wrapText="1"/>
    </xf>
    <xf numFmtId="0" fontId="55" fillId="0" borderId="1" xfId="0" applyFont="1" applyBorder="1" applyAlignment="1">
      <alignment wrapText="1"/>
    </xf>
    <xf numFmtId="0" fontId="57" fillId="0" borderId="5" xfId="0" applyNumberFormat="1" applyFont="1" applyBorder="1" applyAlignment="1">
      <alignment wrapText="1"/>
    </xf>
    <xf numFmtId="0" fontId="47" fillId="0" borderId="1" xfId="0" applyNumberFormat="1" applyFont="1" applyBorder="1" applyAlignment="1">
      <alignment wrapText="1"/>
    </xf>
    <xf numFmtId="0" fontId="51" fillId="0" borderId="1" xfId="0" applyFont="1" applyBorder="1" applyAlignment="1">
      <alignment wrapText="1"/>
    </xf>
    <xf numFmtId="0" fontId="54" fillId="0" borderId="1" xfId="0" applyFont="1" applyBorder="1" applyAlignment="1">
      <alignment wrapText="1"/>
    </xf>
    <xf numFmtId="0" fontId="47" fillId="0" borderId="0" xfId="0" applyFont="1" applyAlignment="1"/>
    <xf numFmtId="0" fontId="51" fillId="0" borderId="4" xfId="0" applyFont="1" applyBorder="1" applyAlignment="1">
      <alignment horizontal="center" vertical="top"/>
    </xf>
    <xf numFmtId="0" fontId="51" fillId="0" borderId="3" xfId="0" applyFont="1" applyBorder="1" applyAlignment="1">
      <alignment horizontal="center" vertical="top"/>
    </xf>
    <xf numFmtId="0" fontId="48" fillId="0" borderId="2" xfId="0" applyFont="1" applyBorder="1" applyAlignment="1">
      <alignment vertical="top"/>
    </xf>
    <xf numFmtId="0" fontId="48" fillId="0" borderId="13" xfId="0" applyFont="1" applyBorder="1" applyAlignment="1">
      <alignment vertical="top"/>
    </xf>
    <xf numFmtId="0" fontId="48" fillId="0" borderId="8" xfId="0" applyFont="1" applyBorder="1" applyAlignment="1">
      <alignment vertical="top"/>
    </xf>
    <xf numFmtId="0" fontId="47" fillId="0" borderId="13" xfId="0" applyFont="1" applyBorder="1" applyAlignment="1">
      <alignment horizontal="center" vertical="top"/>
    </xf>
    <xf numFmtId="0" fontId="45" fillId="0" borderId="5" xfId="0" applyFont="1" applyBorder="1" applyAlignment="1">
      <alignment vertical="top"/>
    </xf>
    <xf numFmtId="0" fontId="56" fillId="0" borderId="4" xfId="0" applyFont="1" applyBorder="1" applyAlignment="1">
      <alignment vertical="top"/>
    </xf>
    <xf numFmtId="0" fontId="56" fillId="0" borderId="3" xfId="0" applyFont="1" applyBorder="1" applyAlignment="1">
      <alignment vertical="top"/>
    </xf>
    <xf numFmtId="0" fontId="11" fillId="0" borderId="13" xfId="0" applyFont="1" applyBorder="1" applyAlignment="1">
      <alignment horizontal="center" vertical="top" wrapText="1"/>
    </xf>
    <xf numFmtId="0" fontId="45" fillId="0" borderId="5" xfId="0" applyFont="1" applyBorder="1" applyAlignment="1">
      <alignment vertical="top" wrapText="1"/>
    </xf>
    <xf numFmtId="0" fontId="46" fillId="0" borderId="4" xfId="0" applyFont="1" applyBorder="1" applyAlignment="1">
      <alignment wrapText="1"/>
    </xf>
    <xf numFmtId="0" fontId="46" fillId="0" borderId="3" xfId="0" applyFont="1" applyBorder="1" applyAlignment="1">
      <alignment wrapText="1"/>
    </xf>
    <xf numFmtId="0" fontId="51" fillId="0" borderId="13" xfId="0" applyFont="1" applyBorder="1" applyAlignment="1">
      <alignment vertical="top"/>
    </xf>
    <xf numFmtId="0" fontId="51" fillId="0" borderId="8" xfId="0" applyFont="1" applyBorder="1" applyAlignment="1">
      <alignment vertical="top"/>
    </xf>
    <xf numFmtId="0" fontId="45" fillId="0" borderId="14" xfId="0" applyFont="1" applyBorder="1" applyAlignment="1">
      <alignment horizontal="center" vertical="top"/>
    </xf>
  </cellXfs>
  <cellStyles count="2">
    <cellStyle name="Normalny" xfId="0" builtinId="0"/>
    <cellStyle name="Procentowy" xfId="1"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dia/Desktop/Bud&#380;ety/Projekt%202017/WYDATK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drzej/AppData/Local/Temp/Dochod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ndrzej/AppData/Local/Temp/Wylicz.do%20projektu.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idia/Desktop/Bud&#380;ety/Projekt%202018/WYDATKI%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ZS Mich"/>
      <sheetName val="ZSP NW"/>
      <sheetName val="Pd Mich"/>
      <sheetName val="ZSO Kom"/>
      <sheetName val="Pd NW"/>
      <sheetName val="CUW"/>
      <sheetName val="Niepubl placówki"/>
      <sheetName val="Aktualiz X"/>
      <sheetName val="Aktualizacja IV"/>
      <sheetName val="Wylicz dotacji"/>
      <sheetName val="Niepub dochody"/>
      <sheetName val="wydatki oświaty"/>
      <sheetName val="wyd niepubl"/>
      <sheetName val="Zbiorczo-parag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Dz</v>
          </cell>
          <cell r="B2" t="str">
            <v>Rozdz</v>
          </cell>
          <cell r="C2" t="str">
            <v>§</v>
          </cell>
          <cell r="D2" t="str">
            <v>Zadanie</v>
          </cell>
        </row>
        <row r="222">
          <cell r="A222">
            <v>801</v>
          </cell>
          <cell r="B222">
            <v>80104</v>
          </cell>
          <cell r="C222">
            <v>3020</v>
          </cell>
        </row>
        <row r="225">
          <cell r="C225">
            <v>4010</v>
          </cell>
        </row>
        <row r="232">
          <cell r="C232">
            <v>4040</v>
          </cell>
        </row>
        <row r="235">
          <cell r="C235">
            <v>4110</v>
          </cell>
        </row>
        <row r="238">
          <cell r="C238">
            <v>4120</v>
          </cell>
        </row>
        <row r="243">
          <cell r="C243">
            <v>4170</v>
          </cell>
        </row>
        <row r="248">
          <cell r="C248">
            <v>4210</v>
          </cell>
        </row>
        <row r="254">
          <cell r="C254">
            <v>4240</v>
          </cell>
        </row>
        <row r="257">
          <cell r="C257">
            <v>4260</v>
          </cell>
        </row>
        <row r="260">
          <cell r="C260">
            <v>4270</v>
          </cell>
        </row>
        <row r="265">
          <cell r="C265">
            <v>4280</v>
          </cell>
        </row>
        <row r="268">
          <cell r="C268">
            <v>4300</v>
          </cell>
        </row>
        <row r="277">
          <cell r="C277">
            <v>4410</v>
          </cell>
        </row>
        <row r="280">
          <cell r="C280">
            <v>4430</v>
          </cell>
        </row>
        <row r="283">
          <cell r="C283">
            <v>4440</v>
          </cell>
        </row>
        <row r="286">
          <cell r="C286">
            <v>4700</v>
          </cell>
        </row>
        <row r="444">
          <cell r="A444">
            <v>801</v>
          </cell>
          <cell r="B444">
            <v>80146</v>
          </cell>
          <cell r="C444">
            <v>3020</v>
          </cell>
          <cell r="D444" t="str">
            <v xml:space="preserve">Wydatki osobowe niezaliczone do wynagrodzeń  </v>
          </cell>
        </row>
        <row r="447">
          <cell r="D447" t="str">
            <v>opłaty za kształcenie pobierane przez szkoły wyższe i zakłady kształcenia nauczycieli - przedszkole</v>
          </cell>
        </row>
        <row r="449">
          <cell r="D449" t="str">
            <v xml:space="preserve">Podróże służbowe krajowe                                </v>
          </cell>
        </row>
        <row r="454">
          <cell r="C454">
            <v>4700</v>
          </cell>
          <cell r="D454" t="str">
            <v>Szkolenie pracowników niebędących członkami korpusu służby cywilnej</v>
          </cell>
        </row>
        <row r="457">
          <cell r="D457" t="str">
            <v>opłaty za szkolenia nauczycieli- przedszkole</v>
          </cell>
        </row>
        <row r="459">
          <cell r="A459" t="str">
            <v>80146 Dokształcanie i doskonalenie nauczycieli : Razem</v>
          </cell>
        </row>
        <row r="479">
          <cell r="C479">
            <v>3020</v>
          </cell>
          <cell r="D479" t="str">
            <v xml:space="preserve">Wydatki osobowe niezaliczone do wynagrodzeń  </v>
          </cell>
        </row>
        <row r="480">
          <cell r="D480" t="str">
            <v>dodatki wiejskie, mieszkaniowe - przedszkola gminne</v>
          </cell>
        </row>
        <row r="482">
          <cell r="C482">
            <v>4010</v>
          </cell>
          <cell r="D482" t="str">
            <v xml:space="preserve">Wynagrodzenia osobowe pracowników                       </v>
          </cell>
        </row>
        <row r="483">
          <cell r="D483" t="str">
            <v>wynagrodzenia osobowe pracowników- przedszkola gminne</v>
          </cell>
        </row>
        <row r="485">
          <cell r="C485">
            <v>4110</v>
          </cell>
          <cell r="D485" t="str">
            <v xml:space="preserve">Składki na ubezpieczenia społeczne                      </v>
          </cell>
        </row>
        <row r="486">
          <cell r="D486" t="str">
            <v xml:space="preserve">składki na ubezpieczenia społeczne- przedszkola gminne                     </v>
          </cell>
        </row>
        <row r="488">
          <cell r="C488">
            <v>4120</v>
          </cell>
          <cell r="D488" t="str">
            <v xml:space="preserve">Składki na Fundusz Pracy                                </v>
          </cell>
        </row>
        <row r="489">
          <cell r="D489" t="str">
            <v xml:space="preserve">składki na Fundusz Pracy- przedszkola  gminne                              </v>
          </cell>
        </row>
        <row r="491">
          <cell r="C491">
            <v>4210</v>
          </cell>
          <cell r="D491" t="str">
            <v xml:space="preserve">Zakup materiałów i wyposażenia                          </v>
          </cell>
        </row>
        <row r="492">
          <cell r="D492" t="str">
            <v>zakup materiałów i wyposażenia - przedszkola gminne</v>
          </cell>
        </row>
        <row r="493">
          <cell r="C493">
            <v>4240</v>
          </cell>
          <cell r="D493" t="str">
            <v xml:space="preserve">Zakup pomocy naukowych, dydaktycznych i książek         </v>
          </cell>
        </row>
        <row r="494">
          <cell r="D494" t="str">
            <v>zakup pomocy naukowch , dydaktycznych i książek - przedszkola gminne</v>
          </cell>
        </row>
        <row r="495">
          <cell r="C495">
            <v>4300</v>
          </cell>
          <cell r="D495" t="str">
            <v xml:space="preserve">Zakup usług pozostałych                                 </v>
          </cell>
        </row>
        <row r="496">
          <cell r="D496" t="str">
            <v>usługi związane z niepełnosprawnością - przedszkola gminne</v>
          </cell>
        </row>
        <row r="497">
          <cell r="A497" t="str">
            <v>80149 Realizacja zadń wymagających stosowania specjalnej organizacji nauki i metod pracy dla dzieci w przedszkolach, oddziałach przedszkolnych w szkołach podstawowych i innych formach wychowania przedszkolnego : Razem</v>
          </cell>
        </row>
        <row r="517">
          <cell r="A517" t="str">
            <v xml:space="preserve">801 Oświata i wychowanie - Razem                                    </v>
          </cell>
        </row>
        <row r="617">
          <cell r="A617" t="str">
            <v xml:space="preserve"> Wydatki ogółem: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ZSP NW"/>
      <sheetName val="Przedsz.M-ce"/>
      <sheetName val="ZS M-ce"/>
      <sheetName val="CUW"/>
      <sheetName val="doch dla gminy"/>
      <sheetName val="przedsz niep"/>
      <sheetName val="ZSO Komorów"/>
      <sheetName val="Razem dochody"/>
    </sheetNames>
    <sheetDataSet>
      <sheetData sheetId="0">
        <row r="23">
          <cell r="F23">
            <v>36040</v>
          </cell>
        </row>
      </sheetData>
      <sheetData sheetId="1">
        <row r="8">
          <cell r="F8">
            <v>112500</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wóz dzieci"/>
      <sheetName val="zbiorczo składn"/>
      <sheetName val="Nagrody DEN"/>
      <sheetName val="CUW"/>
      <sheetName val="Przedszk.M-ce"/>
      <sheetName val="Przedszkole Nowa W"/>
      <sheetName val="Nowa Wieś"/>
      <sheetName val="Komorów"/>
      <sheetName val="Michałowice"/>
    </sheetNames>
    <sheetDataSet>
      <sheetData sheetId="0"/>
      <sheetData sheetId="1"/>
      <sheetData sheetId="2">
        <row r="24">
          <cell r="H24">
            <v>57250.151999999995</v>
          </cell>
        </row>
      </sheetData>
      <sheetData sheetId="3"/>
      <sheetData sheetId="4">
        <row r="54">
          <cell r="F54">
            <v>9166</v>
          </cell>
        </row>
      </sheetData>
      <sheetData sheetId="5">
        <row r="53">
          <cell r="F53">
            <v>2591</v>
          </cell>
        </row>
      </sheetData>
      <sheetData sheetId="6">
        <row r="58">
          <cell r="G58">
            <v>23541</v>
          </cell>
        </row>
        <row r="59">
          <cell r="G59">
            <v>1600</v>
          </cell>
        </row>
        <row r="60">
          <cell r="G60">
            <v>2964</v>
          </cell>
        </row>
        <row r="61">
          <cell r="G61">
            <v>2537</v>
          </cell>
        </row>
      </sheetData>
      <sheetData sheetId="7">
        <row r="59">
          <cell r="G59">
            <v>30428</v>
          </cell>
        </row>
        <row r="60">
          <cell r="G60">
            <v>2558</v>
          </cell>
        </row>
        <row r="61">
          <cell r="G61">
            <v>868</v>
          </cell>
        </row>
        <row r="62">
          <cell r="G62">
            <v>4592</v>
          </cell>
        </row>
        <row r="63">
          <cell r="G63">
            <v>9372</v>
          </cell>
        </row>
      </sheetData>
      <sheetData sheetId="8">
        <row r="64">
          <cell r="G64">
            <v>31931</v>
          </cell>
        </row>
        <row r="65">
          <cell r="G65">
            <v>2006</v>
          </cell>
        </row>
        <row r="66">
          <cell r="G66">
            <v>2858</v>
          </cell>
        </row>
        <row r="67">
          <cell r="G67">
            <v>4611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ZS Mich"/>
      <sheetName val="ZSP NW"/>
      <sheetName val="Pd NW"/>
      <sheetName val="Pd Mich"/>
      <sheetName val="ZSO Kom"/>
      <sheetName val="CUW"/>
      <sheetName val="Niepubl placówki"/>
      <sheetName val="Aktualizacja X przedszkola"/>
      <sheetName val="Aktualizacja IV"/>
      <sheetName val="Wylicz dotacji przedszk"/>
      <sheetName val="Wylicz dotacji &quot;O&quot;"/>
      <sheetName val="Niepub dochody"/>
      <sheetName val="wydatki oświaty"/>
      <sheetName val="wyd niepubl"/>
      <sheetName val="Zbiorczo-paragr"/>
    </sheetNames>
    <sheetDataSet>
      <sheetData sheetId="0"/>
      <sheetData sheetId="1"/>
      <sheetData sheetId="2">
        <row r="65">
          <cell r="F65">
            <v>935566</v>
          </cell>
        </row>
      </sheetData>
      <sheetData sheetId="3">
        <row r="68">
          <cell r="G68">
            <v>2599361</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199"/>
  <sheetViews>
    <sheetView tabSelected="1" zoomScaleNormal="100" zoomScaleSheetLayoutView="100" workbookViewId="0">
      <selection activeCell="D206" sqref="D206"/>
    </sheetView>
  </sheetViews>
  <sheetFormatPr defaultRowHeight="15"/>
  <cols>
    <col min="1" max="1" width="4.5703125" style="52" customWidth="1"/>
    <col min="2" max="2" width="6" style="52" customWidth="1"/>
    <col min="3" max="3" width="5.28515625" style="52" customWidth="1"/>
    <col min="4" max="4" width="71" style="52" customWidth="1"/>
    <col min="5" max="5" width="13.5703125" style="78" customWidth="1"/>
    <col min="6" max="6" width="13" style="52" customWidth="1"/>
    <col min="7" max="7" width="8" style="52" customWidth="1"/>
    <col min="8" max="8" width="14.28515625" style="1" hidden="1" customWidth="1"/>
    <col min="9" max="9" width="10.140625" style="72" hidden="1" customWidth="1"/>
    <col min="10" max="10" width="10.140625" style="52" bestFit="1" customWidth="1"/>
    <col min="11" max="11" width="11.5703125" style="52" bestFit="1" customWidth="1"/>
    <col min="12" max="12" width="10.140625" style="52" bestFit="1" customWidth="1"/>
    <col min="13" max="16384" width="9.140625" style="52"/>
  </cols>
  <sheetData>
    <row r="1" spans="1:16" s="48" customFormat="1" ht="15" customHeight="1">
      <c r="A1" s="485" t="s">
        <v>712</v>
      </c>
      <c r="B1" s="485"/>
      <c r="C1" s="485"/>
      <c r="D1" s="485"/>
      <c r="E1" s="485"/>
      <c r="F1" s="485"/>
      <c r="G1" s="485"/>
      <c r="H1" s="41"/>
      <c r="I1" s="56"/>
      <c r="J1" s="47"/>
      <c r="K1" s="47"/>
      <c r="L1" s="47"/>
      <c r="M1" s="47"/>
      <c r="N1" s="47"/>
      <c r="O1" s="47"/>
      <c r="P1" s="47"/>
    </row>
    <row r="2" spans="1:16" s="48" customFormat="1" ht="49.5" customHeight="1">
      <c r="A2" s="15" t="s">
        <v>287</v>
      </c>
      <c r="B2" s="15" t="s">
        <v>406</v>
      </c>
      <c r="C2" s="15" t="s">
        <v>368</v>
      </c>
      <c r="D2" s="49" t="s">
        <v>367</v>
      </c>
      <c r="E2" s="149" t="s">
        <v>687</v>
      </c>
      <c r="F2" s="16" t="s">
        <v>688</v>
      </c>
      <c r="G2" s="16" t="s">
        <v>331</v>
      </c>
      <c r="H2" s="42" t="s">
        <v>384</v>
      </c>
      <c r="I2" s="56" t="s">
        <v>95</v>
      </c>
      <c r="J2" s="47"/>
      <c r="K2" s="47"/>
      <c r="L2" s="47"/>
      <c r="M2" s="47"/>
      <c r="N2" s="47"/>
      <c r="O2" s="47"/>
      <c r="P2" s="47"/>
    </row>
    <row r="3" spans="1:16" ht="17.25" customHeight="1">
      <c r="A3" s="15">
        <v>801</v>
      </c>
      <c r="B3" s="27">
        <f>'Zbiorczo-paragr'!B37</f>
        <v>80101</v>
      </c>
      <c r="C3" s="27">
        <v>3020</v>
      </c>
      <c r="D3" s="27" t="str">
        <f>'Zbiorczo-paragr'!D39</f>
        <v xml:space="preserve">Wydatki osobowe nie zaliczone do wynagrodzeń  </v>
      </c>
      <c r="E3" s="108">
        <f>SUM(E4:E5)</f>
        <v>313400</v>
      </c>
      <c r="F3" s="108">
        <f>SUM(F4:F5)</f>
        <v>272860</v>
      </c>
      <c r="G3" s="51">
        <f t="shared" ref="G3:G55" si="0">SUM(F3/E3)</f>
        <v>0.87064454371410338</v>
      </c>
      <c r="H3" s="43" t="e">
        <f>F3/#REF!</f>
        <v>#REF!</v>
      </c>
      <c r="I3" s="56"/>
      <c r="J3" s="152"/>
      <c r="K3" s="152"/>
      <c r="L3" s="47"/>
      <c r="M3" s="47"/>
      <c r="N3" s="47"/>
      <c r="O3" s="47"/>
      <c r="P3" s="47"/>
    </row>
    <row r="4" spans="1:16" ht="18.75" customHeight="1">
      <c r="A4" s="15"/>
      <c r="B4" s="27"/>
      <c r="C4" s="27"/>
      <c r="D4" s="29" t="s">
        <v>778</v>
      </c>
      <c r="E4" s="108">
        <f>313400-E5</f>
        <v>308300</v>
      </c>
      <c r="F4" s="50">
        <f>268000-F113</f>
        <v>265240</v>
      </c>
      <c r="G4" s="51">
        <f t="shared" si="0"/>
        <v>0.8603308465780084</v>
      </c>
      <c r="H4" s="43" t="e">
        <f>F4/#REF!</f>
        <v>#REF!</v>
      </c>
      <c r="I4" s="56"/>
      <c r="J4" s="47"/>
      <c r="K4" s="47"/>
      <c r="L4" s="152"/>
      <c r="M4" s="47"/>
      <c r="N4" s="47"/>
      <c r="O4" s="47"/>
      <c r="P4" s="47"/>
    </row>
    <row r="5" spans="1:16" ht="16.899999999999999" customHeight="1">
      <c r="A5" s="15"/>
      <c r="B5" s="27"/>
      <c r="C5" s="27"/>
      <c r="D5" s="29" t="s">
        <v>627</v>
      </c>
      <c r="E5" s="108">
        <v>5100</v>
      </c>
      <c r="F5" s="50">
        <v>7620</v>
      </c>
      <c r="G5" s="51">
        <f t="shared" si="0"/>
        <v>1.4941176470588236</v>
      </c>
      <c r="H5" s="43"/>
      <c r="I5" s="56"/>
      <c r="J5" s="47"/>
      <c r="K5" s="47"/>
      <c r="L5" s="47"/>
      <c r="M5" s="47"/>
      <c r="N5" s="47"/>
      <c r="O5" s="47"/>
      <c r="P5" s="47"/>
    </row>
    <row r="6" spans="1:16" ht="17.25" customHeight="1">
      <c r="A6" s="15"/>
      <c r="B6" s="27"/>
      <c r="C6" s="27">
        <v>4010</v>
      </c>
      <c r="D6" s="27" t="str">
        <f>'Zbiorczo-paragr'!D46</f>
        <v xml:space="preserve">Wynagrodzenia osobowe pracowników                       </v>
      </c>
      <c r="E6" s="108">
        <f>SUM(E7:E8)</f>
        <v>3681100</v>
      </c>
      <c r="F6" s="50">
        <f>SUM(F7:F8)</f>
        <v>4833000</v>
      </c>
      <c r="G6" s="51">
        <f t="shared" si="0"/>
        <v>1.3129227676509738</v>
      </c>
      <c r="H6" s="43" t="e">
        <f>F6/#REF!</f>
        <v>#REF!</v>
      </c>
      <c r="I6" s="56"/>
      <c r="J6" s="56"/>
      <c r="K6" s="56"/>
      <c r="L6" s="47"/>
      <c r="M6" s="47"/>
      <c r="N6" s="47"/>
      <c r="O6" s="47"/>
      <c r="P6" s="47"/>
    </row>
    <row r="7" spans="1:16" ht="29.25" customHeight="1">
      <c r="A7" s="15"/>
      <c r="B7" s="27"/>
      <c r="C7" s="27"/>
      <c r="D7" s="52" t="s">
        <v>785</v>
      </c>
      <c r="E7" s="109">
        <f>3681100-E8</f>
        <v>3636100</v>
      </c>
      <c r="F7" s="53">
        <f>5005000-F8-F114</f>
        <v>4720200</v>
      </c>
      <c r="G7" s="51">
        <f t="shared" si="0"/>
        <v>1.2981491158108962</v>
      </c>
      <c r="H7" s="43" t="e">
        <f>F7/#REF!</f>
        <v>#REF!</v>
      </c>
      <c r="I7" s="56"/>
      <c r="J7" s="56"/>
      <c r="K7" s="56"/>
      <c r="L7" s="47"/>
      <c r="M7" s="47"/>
      <c r="N7" s="47"/>
      <c r="O7" s="47"/>
      <c r="P7" s="47"/>
    </row>
    <row r="8" spans="1:16" ht="19.5" customHeight="1">
      <c r="A8" s="15"/>
      <c r="B8" s="27"/>
      <c r="C8" s="27"/>
      <c r="D8" s="27" t="s">
        <v>759</v>
      </c>
      <c r="E8" s="109">
        <v>45000</v>
      </c>
      <c r="F8" s="53">
        <f>60800+18000+17500+16500</f>
        <v>112800</v>
      </c>
      <c r="G8" s="51">
        <f t="shared" si="0"/>
        <v>2.5066666666666668</v>
      </c>
      <c r="H8" s="43"/>
      <c r="I8" s="56"/>
      <c r="J8" s="56"/>
      <c r="K8" s="152"/>
      <c r="L8" s="47"/>
      <c r="M8" s="47"/>
      <c r="N8" s="47"/>
      <c r="O8" s="47"/>
      <c r="P8" s="47"/>
    </row>
    <row r="9" spans="1:16" ht="32.25" customHeight="1">
      <c r="A9" s="15"/>
      <c r="B9" s="27"/>
      <c r="C9" s="27">
        <v>4040</v>
      </c>
      <c r="D9" s="27" t="s">
        <v>227</v>
      </c>
      <c r="E9" s="109">
        <v>269000</v>
      </c>
      <c r="F9" s="53">
        <v>335000</v>
      </c>
      <c r="G9" s="51">
        <f t="shared" si="0"/>
        <v>1.245353159851301</v>
      </c>
      <c r="H9" s="43" t="e">
        <f>F9/#REF!</f>
        <v>#REF!</v>
      </c>
      <c r="I9" s="56"/>
      <c r="J9" s="47"/>
      <c r="K9" s="47"/>
      <c r="L9" s="47"/>
      <c r="M9" s="47"/>
      <c r="N9" s="47"/>
      <c r="O9" s="47"/>
      <c r="P9" s="47"/>
    </row>
    <row r="10" spans="1:16" ht="15.75">
      <c r="A10" s="15"/>
      <c r="B10" s="27"/>
      <c r="C10" s="27">
        <v>4110</v>
      </c>
      <c r="D10" s="27" t="str">
        <f>'Zbiorczo-paragr'!D57</f>
        <v xml:space="preserve">Składki na ubezpieczenia społeczne                      </v>
      </c>
      <c r="E10" s="109">
        <v>751655</v>
      </c>
      <c r="F10" s="53">
        <f>1000000-F116</f>
        <v>967500</v>
      </c>
      <c r="G10" s="51">
        <f t="shared" si="0"/>
        <v>1.2871596676666821</v>
      </c>
      <c r="H10" s="43" t="e">
        <f>F10/#REF!</f>
        <v>#REF!</v>
      </c>
      <c r="I10" s="56"/>
      <c r="J10" s="56"/>
      <c r="K10" s="56"/>
      <c r="L10" s="47"/>
      <c r="M10" s="47"/>
      <c r="N10" s="47"/>
      <c r="O10" s="47"/>
      <c r="P10" s="47"/>
    </row>
    <row r="11" spans="1:16" ht="15.75">
      <c r="A11" s="15"/>
      <c r="B11" s="27"/>
      <c r="C11" s="27">
        <v>4120</v>
      </c>
      <c r="D11" s="27" t="str">
        <f>'Zbiorczo-paragr'!D61</f>
        <v xml:space="preserve">Składki na Fundusz Pracy                                </v>
      </c>
      <c r="E11" s="109">
        <v>100758</v>
      </c>
      <c r="F11" s="53">
        <f>130000-F118</f>
        <v>125400</v>
      </c>
      <c r="G11" s="51">
        <f t="shared" si="0"/>
        <v>1.244566188292741</v>
      </c>
      <c r="H11" s="43" t="e">
        <f>F11/#REF!</f>
        <v>#REF!</v>
      </c>
      <c r="I11" s="56"/>
      <c r="J11" s="56"/>
      <c r="K11" s="47"/>
      <c r="L11" s="47"/>
      <c r="M11" s="47"/>
      <c r="N11" s="47"/>
      <c r="O11" s="47"/>
      <c r="P11" s="47"/>
    </row>
    <row r="12" spans="1:16" ht="15.75">
      <c r="A12" s="15"/>
      <c r="B12" s="27"/>
      <c r="C12" s="27">
        <v>4140</v>
      </c>
      <c r="D12" s="27" t="str">
        <f>'Zbiorczo-paragr'!D65</f>
        <v>Wpłaty na PFRON</v>
      </c>
      <c r="E12" s="109">
        <v>5000</v>
      </c>
      <c r="F12" s="53">
        <v>0</v>
      </c>
      <c r="G12" s="51">
        <f t="shared" si="0"/>
        <v>0</v>
      </c>
      <c r="H12" s="43" t="e">
        <f>F12/#REF!</f>
        <v>#REF!</v>
      </c>
      <c r="I12" s="56"/>
      <c r="J12" s="47"/>
      <c r="K12" s="47"/>
      <c r="L12" s="47"/>
      <c r="M12" s="47"/>
      <c r="N12" s="47"/>
      <c r="O12" s="47"/>
      <c r="P12" s="47"/>
    </row>
    <row r="13" spans="1:16" ht="15.75">
      <c r="A13" s="15"/>
      <c r="B13" s="27"/>
      <c r="C13" s="28">
        <v>4170</v>
      </c>
      <c r="D13" s="27" t="str">
        <f>'Zbiorczo-paragr'!D69</f>
        <v>Wynagrodzenia bezosobowe</v>
      </c>
      <c r="E13" s="109">
        <f>SUM(E14)</f>
        <v>42000</v>
      </c>
      <c r="F13" s="53">
        <f>SUM(F14)</f>
        <v>46000</v>
      </c>
      <c r="G13" s="51">
        <f t="shared" si="0"/>
        <v>1.0952380952380953</v>
      </c>
      <c r="H13" s="43" t="e">
        <f>F13/#REF!</f>
        <v>#REF!</v>
      </c>
      <c r="I13" s="56"/>
      <c r="J13" s="56"/>
      <c r="K13" s="47"/>
      <c r="L13" s="47"/>
      <c r="M13" s="47"/>
      <c r="N13" s="47"/>
      <c r="O13" s="47"/>
      <c r="P13" s="47"/>
    </row>
    <row r="14" spans="1:16" ht="42.6" customHeight="1">
      <c r="A14" s="15"/>
      <c r="B14" s="27"/>
      <c r="C14" s="28"/>
      <c r="D14" s="27" t="s">
        <v>628</v>
      </c>
      <c r="E14" s="109">
        <v>42000</v>
      </c>
      <c r="F14" s="53">
        <v>46000</v>
      </c>
      <c r="G14" s="51">
        <f t="shared" si="0"/>
        <v>1.0952380952380953</v>
      </c>
      <c r="H14" s="43" t="e">
        <f>F14/#REF!</f>
        <v>#REF!</v>
      </c>
      <c r="I14" s="56"/>
      <c r="J14" s="47"/>
      <c r="K14" s="56"/>
      <c r="L14" s="47"/>
      <c r="M14" s="47"/>
      <c r="N14" s="47"/>
      <c r="O14" s="47"/>
      <c r="P14" s="47"/>
    </row>
    <row r="15" spans="1:16" ht="16.5" customHeight="1">
      <c r="A15" s="15"/>
      <c r="B15" s="27"/>
      <c r="C15" s="28">
        <v>4190</v>
      </c>
      <c r="D15" s="27" t="str">
        <f>'Zbiorczo-paragr'!D73</f>
        <v>Nagrody konkursowe</v>
      </c>
      <c r="E15" s="109">
        <f>E16</f>
        <v>0</v>
      </c>
      <c r="F15" s="53">
        <f>F16</f>
        <v>500</v>
      </c>
      <c r="G15" s="51" t="e">
        <f t="shared" si="0"/>
        <v>#DIV/0!</v>
      </c>
      <c r="H15" s="43"/>
      <c r="I15" s="56"/>
      <c r="J15" s="47"/>
      <c r="K15" s="56"/>
      <c r="L15" s="47"/>
      <c r="M15" s="47"/>
      <c r="N15" s="47"/>
      <c r="O15" s="47"/>
      <c r="P15" s="47"/>
    </row>
    <row r="16" spans="1:16" ht="17.25" customHeight="1">
      <c r="A16" s="15"/>
      <c r="B16" s="27"/>
      <c r="C16" s="28"/>
      <c r="D16" s="27" t="s">
        <v>456</v>
      </c>
      <c r="E16" s="109">
        <v>0</v>
      </c>
      <c r="F16" s="53">
        <v>500</v>
      </c>
      <c r="G16" s="51" t="e">
        <f t="shared" si="0"/>
        <v>#DIV/0!</v>
      </c>
      <c r="H16" s="43"/>
      <c r="I16" s="56"/>
      <c r="J16" s="47"/>
      <c r="K16" s="56"/>
      <c r="L16" s="47"/>
      <c r="M16" s="47"/>
      <c r="N16" s="47"/>
      <c r="O16" s="47"/>
      <c r="P16" s="47"/>
    </row>
    <row r="17" spans="1:16" ht="18" customHeight="1">
      <c r="A17" s="15"/>
      <c r="B17" s="27"/>
      <c r="C17" s="27">
        <v>4210</v>
      </c>
      <c r="D17" s="27" t="str">
        <f>'Zbiorczo-paragr'!D77</f>
        <v xml:space="preserve">Zakup materiałów i wyposażenia                          </v>
      </c>
      <c r="E17" s="108">
        <f>SUM(E18+E19)</f>
        <v>157170</v>
      </c>
      <c r="F17" s="50">
        <f>SUM(F18+F19)</f>
        <v>160000</v>
      </c>
      <c r="G17" s="51">
        <f t="shared" si="0"/>
        <v>1.0180059807851372</v>
      </c>
      <c r="H17" s="43" t="e">
        <f>F17/#REF!</f>
        <v>#REF!</v>
      </c>
      <c r="I17" s="56"/>
      <c r="J17" s="47"/>
      <c r="K17" s="47"/>
      <c r="L17" s="47"/>
      <c r="M17" s="47"/>
      <c r="N17" s="47"/>
      <c r="O17" s="47"/>
      <c r="P17" s="47"/>
    </row>
    <row r="18" spans="1:16" ht="60" customHeight="1">
      <c r="A18" s="15"/>
      <c r="B18" s="27"/>
      <c r="C18" s="27"/>
      <c r="D18" s="29" t="s">
        <v>786</v>
      </c>
      <c r="E18" s="108">
        <v>157170</v>
      </c>
      <c r="F18" s="50">
        <v>160000</v>
      </c>
      <c r="G18" s="51">
        <f t="shared" si="0"/>
        <v>1.0180059807851372</v>
      </c>
      <c r="H18" s="43" t="e">
        <f>F18/#REF!</f>
        <v>#REF!</v>
      </c>
      <c r="I18" s="56">
        <v>100000</v>
      </c>
      <c r="J18" s="56"/>
      <c r="K18" s="47"/>
      <c r="L18" s="47"/>
      <c r="M18" s="47"/>
      <c r="N18" s="47"/>
      <c r="O18" s="47"/>
      <c r="P18" s="47"/>
    </row>
    <row r="19" spans="1:16" ht="15.75" hidden="1" customHeight="1">
      <c r="A19" s="15"/>
      <c r="B19" s="27"/>
      <c r="C19" s="27"/>
      <c r="D19" s="29" t="s">
        <v>381</v>
      </c>
      <c r="E19" s="108">
        <v>0</v>
      </c>
      <c r="F19" s="50">
        <v>0</v>
      </c>
      <c r="G19" s="51" t="e">
        <f t="shared" si="0"/>
        <v>#DIV/0!</v>
      </c>
      <c r="H19" s="43"/>
      <c r="I19" s="56"/>
      <c r="J19" s="47"/>
      <c r="K19" s="47"/>
      <c r="L19" s="47"/>
      <c r="M19" s="47"/>
      <c r="N19" s="47"/>
      <c r="O19" s="47"/>
      <c r="P19" s="47"/>
    </row>
    <row r="20" spans="1:16" ht="15.75" customHeight="1">
      <c r="A20" s="15"/>
      <c r="B20" s="27"/>
      <c r="C20" s="27">
        <f>'Zbiorczo-paragr'!C84</f>
        <v>4220</v>
      </c>
      <c r="D20" s="27" t="str">
        <f>'Zbiorczo-paragr'!D84</f>
        <v xml:space="preserve">Zakup środków żywności    </v>
      </c>
      <c r="E20" s="108">
        <f>E21</f>
        <v>400</v>
      </c>
      <c r="F20" s="50">
        <f>F21</f>
        <v>400</v>
      </c>
      <c r="G20" s="51">
        <f t="shared" si="0"/>
        <v>1</v>
      </c>
      <c r="H20" s="43"/>
      <c r="I20" s="56"/>
      <c r="J20" s="47"/>
      <c r="K20" s="47"/>
      <c r="L20" s="47"/>
      <c r="M20" s="47"/>
      <c r="N20" s="47"/>
      <c r="O20" s="47"/>
      <c r="P20" s="47"/>
    </row>
    <row r="21" spans="1:16" ht="15.75" customHeight="1">
      <c r="A21" s="15"/>
      <c r="B21" s="27"/>
      <c r="C21" s="27"/>
      <c r="D21" s="29" t="s">
        <v>493</v>
      </c>
      <c r="E21" s="108">
        <v>400</v>
      </c>
      <c r="F21" s="50">
        <v>400</v>
      </c>
      <c r="G21" s="51">
        <f t="shared" si="0"/>
        <v>1</v>
      </c>
      <c r="H21" s="43"/>
      <c r="I21" s="56"/>
      <c r="J21" s="47"/>
      <c r="K21" s="47"/>
      <c r="L21" s="47"/>
      <c r="M21" s="47"/>
      <c r="N21" s="47"/>
      <c r="O21" s="47"/>
      <c r="P21" s="47"/>
    </row>
    <row r="22" spans="1:16" ht="21" customHeight="1">
      <c r="A22" s="15"/>
      <c r="B22" s="27"/>
      <c r="C22" s="27">
        <v>4240</v>
      </c>
      <c r="D22" s="27" t="s">
        <v>18</v>
      </c>
      <c r="E22" s="109">
        <f>SUM(E23+E25+E24)</f>
        <v>20000</v>
      </c>
      <c r="F22" s="53">
        <f>SUM(F23+F25+F24)</f>
        <v>23000</v>
      </c>
      <c r="G22" s="51">
        <f t="shared" si="0"/>
        <v>1.1499999999999999</v>
      </c>
      <c r="H22" s="43" t="e">
        <f>F22/#REF!</f>
        <v>#REF!</v>
      </c>
      <c r="I22" s="56">
        <v>20000</v>
      </c>
      <c r="J22" s="56"/>
      <c r="K22" s="47"/>
      <c r="L22" s="47"/>
      <c r="M22" s="47"/>
      <c r="N22" s="47"/>
      <c r="O22" s="47"/>
      <c r="P22" s="47"/>
    </row>
    <row r="23" spans="1:16" ht="17.25" customHeight="1">
      <c r="A23" s="15"/>
      <c r="B23" s="27"/>
      <c r="C23" s="27"/>
      <c r="D23" s="27" t="s">
        <v>320</v>
      </c>
      <c r="E23" s="109">
        <v>20000</v>
      </c>
      <c r="F23" s="53">
        <v>23000</v>
      </c>
      <c r="G23" s="51">
        <f t="shared" si="0"/>
        <v>1.1499999999999999</v>
      </c>
      <c r="H23" s="43"/>
      <c r="I23" s="56"/>
      <c r="J23" s="47"/>
      <c r="K23" s="47"/>
      <c r="L23" s="47"/>
      <c r="M23" s="47"/>
      <c r="N23" s="47"/>
      <c r="O23" s="47"/>
      <c r="P23" s="47"/>
    </row>
    <row r="24" spans="1:16" ht="17.25" hidden="1" customHeight="1">
      <c r="A24" s="15"/>
      <c r="B24" s="27"/>
      <c r="C24" s="27"/>
      <c r="D24" s="29" t="s">
        <v>381</v>
      </c>
      <c r="E24" s="109">
        <v>0</v>
      </c>
      <c r="F24" s="53">
        <v>0</v>
      </c>
      <c r="G24" s="51" t="e">
        <f t="shared" si="0"/>
        <v>#DIV/0!</v>
      </c>
      <c r="H24" s="43"/>
      <c r="I24" s="56"/>
      <c r="J24" s="47"/>
      <c r="K24" s="47"/>
      <c r="L24" s="47"/>
      <c r="M24" s="47"/>
      <c r="N24" s="47"/>
      <c r="O24" s="47"/>
      <c r="P24" s="47"/>
    </row>
    <row r="25" spans="1:16" ht="15" hidden="1" customHeight="1">
      <c r="A25" s="15"/>
      <c r="B25" s="27"/>
      <c r="C25" s="27"/>
      <c r="D25" s="29" t="s">
        <v>609</v>
      </c>
      <c r="E25" s="109">
        <v>0</v>
      </c>
      <c r="F25" s="53">
        <v>0</v>
      </c>
      <c r="G25" s="51" t="e">
        <f t="shared" si="0"/>
        <v>#DIV/0!</v>
      </c>
      <c r="H25" s="43"/>
      <c r="I25" s="56"/>
      <c r="J25" s="47"/>
      <c r="K25" s="47"/>
      <c r="L25" s="47"/>
      <c r="M25" s="47"/>
      <c r="N25" s="47"/>
      <c r="O25" s="47"/>
      <c r="P25" s="47"/>
    </row>
    <row r="26" spans="1:16" ht="15" customHeight="1">
      <c r="A26" s="15"/>
      <c r="B26" s="27"/>
      <c r="C26" s="27">
        <v>4260</v>
      </c>
      <c r="D26" s="27" t="str">
        <f>'Zbiorczo-paragr'!D92</f>
        <v xml:space="preserve">Zakup energii                                           </v>
      </c>
      <c r="E26" s="109">
        <f>SUM(E27)</f>
        <v>315000</v>
      </c>
      <c r="F26" s="53">
        <f>SUM(F27)</f>
        <v>391500</v>
      </c>
      <c r="G26" s="51">
        <f t="shared" si="0"/>
        <v>1.2428571428571429</v>
      </c>
      <c r="H26" s="43" t="e">
        <f>F26/#REF!</f>
        <v>#REF!</v>
      </c>
      <c r="I26" s="56"/>
      <c r="J26" s="47"/>
      <c r="K26" s="47"/>
      <c r="L26" s="47"/>
      <c r="M26" s="47"/>
      <c r="N26" s="47"/>
      <c r="O26" s="47"/>
      <c r="P26" s="47"/>
    </row>
    <row r="27" spans="1:16" ht="19.5" customHeight="1">
      <c r="A27" s="15"/>
      <c r="B27" s="27"/>
      <c r="C27" s="27"/>
      <c r="D27" s="27" t="s">
        <v>236</v>
      </c>
      <c r="E27" s="109">
        <v>315000</v>
      </c>
      <c r="F27" s="53">
        <v>391500</v>
      </c>
      <c r="G27" s="51">
        <f t="shared" si="0"/>
        <v>1.2428571428571429</v>
      </c>
      <c r="H27" s="43" t="e">
        <f>F27/#REF!</f>
        <v>#REF!</v>
      </c>
      <c r="I27" s="56"/>
      <c r="J27" s="47"/>
      <c r="K27" s="47"/>
      <c r="L27" s="47"/>
      <c r="M27" s="47"/>
      <c r="N27" s="47"/>
      <c r="O27" s="47"/>
      <c r="P27" s="47"/>
    </row>
    <row r="28" spans="1:16" ht="16.5" customHeight="1">
      <c r="A28" s="15"/>
      <c r="B28" s="27"/>
      <c r="C28" s="27">
        <v>4270</v>
      </c>
      <c r="D28" s="27" t="str">
        <f>'Zbiorczo-paragr'!D96</f>
        <v xml:space="preserve">Zakup usług remontowych                                 </v>
      </c>
      <c r="E28" s="108">
        <f>SUM(E29:E30)</f>
        <v>47000</v>
      </c>
      <c r="F28" s="50">
        <f>SUM(F29:F30)</f>
        <v>24500</v>
      </c>
      <c r="G28" s="51">
        <f t="shared" si="0"/>
        <v>0.52127659574468088</v>
      </c>
      <c r="H28" s="43" t="e">
        <f>F28/#REF!</f>
        <v>#REF!</v>
      </c>
      <c r="I28" s="56"/>
      <c r="J28" s="47"/>
      <c r="K28" s="47"/>
      <c r="L28" s="47"/>
      <c r="M28" s="47"/>
      <c r="N28" s="47"/>
      <c r="O28" s="47"/>
      <c r="P28" s="47"/>
    </row>
    <row r="29" spans="1:16" ht="27" customHeight="1">
      <c r="A29" s="15"/>
      <c r="B29" s="27"/>
      <c r="C29" s="27"/>
      <c r="D29" s="27" t="s">
        <v>710</v>
      </c>
      <c r="E29" s="108">
        <v>25000</v>
      </c>
      <c r="F29" s="50">
        <v>0</v>
      </c>
      <c r="G29" s="51">
        <f t="shared" si="0"/>
        <v>0</v>
      </c>
      <c r="H29" s="43" t="e">
        <f>F29/#REF!</f>
        <v>#REF!</v>
      </c>
      <c r="I29" s="56"/>
      <c r="J29" s="47"/>
      <c r="K29" s="47"/>
      <c r="L29" s="47"/>
      <c r="M29" s="47"/>
      <c r="N29" s="47"/>
      <c r="O29" s="47"/>
      <c r="P29" s="47"/>
    </row>
    <row r="30" spans="1:16" ht="29.25" customHeight="1">
      <c r="A30" s="15"/>
      <c r="B30" s="27"/>
      <c r="C30" s="27"/>
      <c r="D30" s="27" t="s">
        <v>172</v>
      </c>
      <c r="E30" s="109">
        <v>22000</v>
      </c>
      <c r="F30" s="53">
        <v>24500</v>
      </c>
      <c r="G30" s="51">
        <f t="shared" si="0"/>
        <v>1.1136363636363635</v>
      </c>
      <c r="H30" s="43" t="e">
        <f>F30/#REF!</f>
        <v>#REF!</v>
      </c>
      <c r="I30" s="56">
        <v>15000</v>
      </c>
      <c r="J30" s="56"/>
      <c r="K30" s="47"/>
      <c r="L30" s="47"/>
      <c r="M30" s="47"/>
      <c r="N30" s="47"/>
      <c r="O30" s="47"/>
      <c r="P30" s="47"/>
    </row>
    <row r="31" spans="1:16" ht="15.75">
      <c r="A31" s="15"/>
      <c r="B31" s="27"/>
      <c r="C31" s="27">
        <v>4280</v>
      </c>
      <c r="D31" s="27" t="str">
        <f>'Zbiorczo-paragr'!D103</f>
        <v>Zakup usług zdrowotnych</v>
      </c>
      <c r="E31" s="109">
        <v>4000</v>
      </c>
      <c r="F31" s="53">
        <v>7000</v>
      </c>
      <c r="G31" s="51">
        <f t="shared" si="0"/>
        <v>1.75</v>
      </c>
      <c r="H31" s="43" t="e">
        <f>F31/#REF!</f>
        <v>#REF!</v>
      </c>
      <c r="I31" s="56"/>
      <c r="J31" s="47"/>
      <c r="K31" s="47"/>
      <c r="L31" s="47"/>
      <c r="M31" s="47"/>
      <c r="N31" s="47"/>
      <c r="O31" s="47"/>
      <c r="P31" s="47"/>
    </row>
    <row r="32" spans="1:16" ht="15.75">
      <c r="A32" s="15"/>
      <c r="B32" s="27"/>
      <c r="C32" s="27">
        <v>4300</v>
      </c>
      <c r="D32" s="27" t="str">
        <f>'Zbiorczo-paragr'!D107</f>
        <v xml:space="preserve">Zakup usług pozostałych                                 </v>
      </c>
      <c r="E32" s="108">
        <f>SUM(E33)</f>
        <v>244250</v>
      </c>
      <c r="F32" s="50">
        <f>SUM(F33)</f>
        <v>269400</v>
      </c>
      <c r="G32" s="51">
        <f t="shared" si="0"/>
        <v>1.1029682702149437</v>
      </c>
      <c r="H32" s="43" t="e">
        <f>F32/#REF!</f>
        <v>#REF!</v>
      </c>
      <c r="I32" s="56"/>
      <c r="J32" s="47"/>
      <c r="K32" s="47"/>
      <c r="L32" s="47"/>
      <c r="M32" s="47"/>
      <c r="N32" s="47"/>
      <c r="O32" s="47"/>
      <c r="P32" s="47"/>
    </row>
    <row r="33" spans="1:16" ht="106.5" customHeight="1">
      <c r="A33" s="15"/>
      <c r="B33" s="27"/>
      <c r="C33" s="27"/>
      <c r="D33" s="27" t="s">
        <v>787</v>
      </c>
      <c r="E33" s="108">
        <v>244250</v>
      </c>
      <c r="F33" s="50">
        <v>269400</v>
      </c>
      <c r="G33" s="51">
        <f t="shared" si="0"/>
        <v>1.1029682702149437</v>
      </c>
      <c r="H33" s="43" t="e">
        <f>F33/#REF!</f>
        <v>#REF!</v>
      </c>
      <c r="I33" s="56">
        <v>70000</v>
      </c>
      <c r="J33" s="56"/>
      <c r="K33" s="56"/>
      <c r="L33" s="47"/>
      <c r="M33" s="47"/>
      <c r="N33" s="47"/>
      <c r="O33" s="47"/>
      <c r="P33" s="47"/>
    </row>
    <row r="34" spans="1:16" ht="20.25" customHeight="1">
      <c r="A34" s="15"/>
      <c r="B34" s="27"/>
      <c r="C34" s="27">
        <v>4360</v>
      </c>
      <c r="D34" s="21" t="s">
        <v>391</v>
      </c>
      <c r="E34" s="108">
        <f>SUM(E35)</f>
        <v>3100</v>
      </c>
      <c r="F34" s="50">
        <f>SUM(F35)</f>
        <v>3300</v>
      </c>
      <c r="G34" s="51">
        <f t="shared" si="0"/>
        <v>1.064516129032258</v>
      </c>
      <c r="H34" s="43" t="e">
        <f>F34/#REF!</f>
        <v>#REF!</v>
      </c>
      <c r="I34" s="56"/>
      <c r="J34" s="47"/>
      <c r="K34" s="47"/>
      <c r="L34" s="47"/>
      <c r="M34" s="47"/>
      <c r="N34" s="47"/>
      <c r="O34" s="47"/>
      <c r="P34" s="47"/>
    </row>
    <row r="35" spans="1:16" ht="19.5" customHeight="1">
      <c r="A35" s="15"/>
      <c r="B35" s="27"/>
      <c r="C35" s="27"/>
      <c r="D35" s="27" t="s">
        <v>392</v>
      </c>
      <c r="E35" s="108">
        <v>3100</v>
      </c>
      <c r="F35" s="50">
        <v>3300</v>
      </c>
      <c r="G35" s="51">
        <f t="shared" si="0"/>
        <v>1.064516129032258</v>
      </c>
      <c r="H35" s="43" t="e">
        <f>F35/#REF!</f>
        <v>#REF!</v>
      </c>
      <c r="I35" s="56"/>
      <c r="J35" s="56"/>
      <c r="K35" s="47"/>
      <c r="L35" s="47"/>
      <c r="M35" s="47"/>
      <c r="N35" s="47"/>
      <c r="O35" s="47"/>
      <c r="P35" s="47"/>
    </row>
    <row r="36" spans="1:16" ht="15.75">
      <c r="A36" s="15"/>
      <c r="B36" s="27"/>
      <c r="C36" s="27">
        <v>4410</v>
      </c>
      <c r="D36" s="27" t="str">
        <f>'Zbiorczo-paragr'!D115</f>
        <v xml:space="preserve">Podróże służbowe krajowe                                </v>
      </c>
      <c r="E36" s="108">
        <f>SUM(E37)</f>
        <v>20</v>
      </c>
      <c r="F36" s="50">
        <f>SUM(F37)</f>
        <v>1750</v>
      </c>
      <c r="G36" s="51">
        <f t="shared" si="0"/>
        <v>87.5</v>
      </c>
      <c r="H36" s="43" t="e">
        <f>F36/#REF!</f>
        <v>#REF!</v>
      </c>
      <c r="I36" s="56"/>
      <c r="J36" s="47"/>
      <c r="K36" s="47"/>
      <c r="L36" s="47"/>
      <c r="M36" s="47"/>
      <c r="N36" s="47"/>
      <c r="O36" s="47"/>
      <c r="P36" s="47"/>
    </row>
    <row r="37" spans="1:16" ht="42" customHeight="1">
      <c r="A37" s="15"/>
      <c r="B37" s="27"/>
      <c r="C37" s="27"/>
      <c r="D37" s="27" t="s">
        <v>221</v>
      </c>
      <c r="E37" s="108">
        <v>20</v>
      </c>
      <c r="F37" s="50">
        <v>1750</v>
      </c>
      <c r="G37" s="51">
        <f t="shared" si="0"/>
        <v>87.5</v>
      </c>
      <c r="H37" s="43" t="e">
        <f>F37/#REF!</f>
        <v>#REF!</v>
      </c>
      <c r="I37" s="56"/>
      <c r="J37" s="47"/>
      <c r="K37" s="47"/>
      <c r="L37" s="47"/>
      <c r="M37" s="47"/>
      <c r="N37" s="47"/>
      <c r="O37" s="47"/>
      <c r="P37" s="47"/>
    </row>
    <row r="38" spans="1:16" ht="15.75">
      <c r="A38" s="15"/>
      <c r="B38" s="27"/>
      <c r="C38" s="27">
        <v>4430</v>
      </c>
      <c r="D38" s="27" t="str">
        <f>'Zbiorczo-paragr'!D119</f>
        <v xml:space="preserve">Różne opłaty i składki                                  </v>
      </c>
      <c r="E38" s="108">
        <f>SUM(E39)</f>
        <v>3760</v>
      </c>
      <c r="F38" s="50">
        <f>SUM(F39)</f>
        <v>7000</v>
      </c>
      <c r="G38" s="51">
        <f t="shared" si="0"/>
        <v>1.8617021276595744</v>
      </c>
      <c r="H38" s="43" t="e">
        <f>F38/#REF!</f>
        <v>#REF!</v>
      </c>
      <c r="I38" s="56"/>
      <c r="J38" s="47"/>
      <c r="K38" s="47"/>
      <c r="L38" s="47"/>
      <c r="M38" s="47"/>
      <c r="N38" s="47"/>
      <c r="O38" s="47"/>
      <c r="P38" s="47"/>
    </row>
    <row r="39" spans="1:16" ht="15.75">
      <c r="A39" s="15"/>
      <c r="B39" s="27"/>
      <c r="C39" s="27"/>
      <c r="D39" s="27" t="s">
        <v>211</v>
      </c>
      <c r="E39" s="108">
        <v>3760</v>
      </c>
      <c r="F39" s="50">
        <f>7000</f>
        <v>7000</v>
      </c>
      <c r="G39" s="51">
        <f t="shared" si="0"/>
        <v>1.8617021276595744</v>
      </c>
      <c r="H39" s="43" t="e">
        <f>F39/#REF!</f>
        <v>#REF!</v>
      </c>
      <c r="I39" s="56"/>
      <c r="J39" s="47"/>
      <c r="K39" s="47"/>
      <c r="L39" s="47"/>
      <c r="M39" s="47"/>
      <c r="N39" s="47"/>
      <c r="O39" s="47"/>
      <c r="P39" s="47"/>
    </row>
    <row r="40" spans="1:16" ht="46.5" customHeight="1">
      <c r="A40" s="15"/>
      <c r="B40" s="27"/>
      <c r="C40" s="27">
        <v>4440</v>
      </c>
      <c r="D40" s="27" t="s">
        <v>16</v>
      </c>
      <c r="E40" s="109">
        <v>188338</v>
      </c>
      <c r="F40" s="53">
        <v>237862</v>
      </c>
      <c r="G40" s="51">
        <f t="shared" si="0"/>
        <v>1.2629527763913815</v>
      </c>
      <c r="H40" s="43" t="e">
        <f>F40/#REF!</f>
        <v>#REF!</v>
      </c>
      <c r="I40" s="56"/>
      <c r="J40" s="47"/>
      <c r="K40" s="47"/>
      <c r="L40" s="47"/>
      <c r="M40" s="47"/>
      <c r="N40" s="47"/>
      <c r="O40" s="47"/>
      <c r="P40" s="47"/>
    </row>
    <row r="41" spans="1:16" ht="18" customHeight="1">
      <c r="A41" s="15"/>
      <c r="B41" s="27"/>
      <c r="C41" s="28">
        <v>4700</v>
      </c>
      <c r="D41" s="29" t="str">
        <f>'Zbiorczo-paragr'!D127</f>
        <v xml:space="preserve">Szkolenia pracowników niebędących członkami korpusu służby cywilnej                                  </v>
      </c>
      <c r="E41" s="109">
        <f>SUM(E42)</f>
        <v>1350</v>
      </c>
      <c r="F41" s="53">
        <f>SUM(F42)</f>
        <v>1600</v>
      </c>
      <c r="G41" s="51">
        <f t="shared" si="0"/>
        <v>1.1851851851851851</v>
      </c>
      <c r="H41" s="43" t="e">
        <f>F41/#REF!</f>
        <v>#REF!</v>
      </c>
      <c r="I41" s="56"/>
      <c r="J41" s="47"/>
      <c r="K41" s="47"/>
      <c r="L41" s="47"/>
      <c r="M41" s="47"/>
      <c r="N41" s="47"/>
      <c r="O41" s="47"/>
      <c r="P41" s="47"/>
    </row>
    <row r="42" spans="1:16" ht="16.5" customHeight="1">
      <c r="A42" s="15"/>
      <c r="B42" s="27"/>
      <c r="C42" s="28"/>
      <c r="D42" s="28" t="s">
        <v>17</v>
      </c>
      <c r="E42" s="109">
        <v>1350</v>
      </c>
      <c r="F42" s="53">
        <v>1600</v>
      </c>
      <c r="G42" s="51">
        <f t="shared" si="0"/>
        <v>1.1851851851851851</v>
      </c>
      <c r="H42" s="43" t="e">
        <f>F42/#REF!</f>
        <v>#REF!</v>
      </c>
      <c r="I42" s="56">
        <v>800</v>
      </c>
      <c r="J42" s="47"/>
      <c r="K42" s="47"/>
      <c r="L42" s="47"/>
      <c r="M42" s="47"/>
      <c r="N42" s="47"/>
      <c r="O42" s="47"/>
      <c r="P42" s="47"/>
    </row>
    <row r="43" spans="1:16" ht="17.25" customHeight="1">
      <c r="A43" s="490" t="str">
        <f>'Zbiorczo-paragr'!A133:D133</f>
        <v>80101 Szkoły podstawowe : Razem</v>
      </c>
      <c r="B43" s="505"/>
      <c r="C43" s="505"/>
      <c r="D43" s="506"/>
      <c r="E43" s="110">
        <f>E3+E6+E9+E10+E11+E12+E13+E15+E17+E20+E22+E26+E28+E31+E32+E34+E41+E36+E38+E40</f>
        <v>6147301</v>
      </c>
      <c r="F43" s="54">
        <f>F3+F6+F9+F10+F11+F12+F13+F15+F17+F20+F22+F26+F28+F31+F32+F34+F41+F36+F38+F40</f>
        <v>7707572</v>
      </c>
      <c r="G43" s="55">
        <f t="shared" si="0"/>
        <v>1.2538139908880337</v>
      </c>
      <c r="H43" s="43" t="e">
        <f>F43/#REF!</f>
        <v>#REF!</v>
      </c>
      <c r="I43" s="56"/>
      <c r="J43" s="56"/>
      <c r="K43" s="47"/>
      <c r="L43" s="47"/>
      <c r="M43" s="47"/>
      <c r="N43" s="47"/>
      <c r="O43" s="47"/>
      <c r="P43" s="47"/>
    </row>
    <row r="44" spans="1:16" ht="17.25" customHeight="1">
      <c r="A44" s="27">
        <v>801</v>
      </c>
      <c r="B44" s="27">
        <v>80103</v>
      </c>
      <c r="C44" s="27">
        <v>3020</v>
      </c>
      <c r="D44" s="27" t="str">
        <f>'Zbiorczo-paragr'!D140</f>
        <v xml:space="preserve">Wydatki osobowe nie zaliczone do wynagrodzeń  </v>
      </c>
      <c r="E44" s="108">
        <f>SUM(E45:E46)</f>
        <v>45980</v>
      </c>
      <c r="F44" s="50">
        <f>SUM(F45:F46)</f>
        <v>29000</v>
      </c>
      <c r="G44" s="51">
        <f t="shared" si="0"/>
        <v>0.63070900391474549</v>
      </c>
      <c r="H44" s="43" t="e">
        <f>F44/#REF!</f>
        <v>#REF!</v>
      </c>
      <c r="I44" s="56"/>
      <c r="J44" s="47"/>
      <c r="K44" s="47"/>
      <c r="L44" s="47"/>
      <c r="M44" s="47"/>
      <c r="N44" s="47"/>
      <c r="O44" s="47"/>
      <c r="P44" s="47"/>
    </row>
    <row r="45" spans="1:16" ht="17.25" customHeight="1">
      <c r="A45" s="27"/>
      <c r="B45" s="27"/>
      <c r="C45" s="27"/>
      <c r="D45" s="29" t="s">
        <v>780</v>
      </c>
      <c r="E45" s="108">
        <v>45980</v>
      </c>
      <c r="F45" s="50">
        <v>29000</v>
      </c>
      <c r="G45" s="51">
        <f t="shared" si="0"/>
        <v>0.63070900391474549</v>
      </c>
      <c r="H45" s="43" t="e">
        <f>F45/#REF!</f>
        <v>#REF!</v>
      </c>
      <c r="I45" s="56"/>
      <c r="J45" s="47"/>
      <c r="K45" s="47"/>
      <c r="L45" s="47"/>
      <c r="M45" s="47"/>
      <c r="N45" s="47"/>
      <c r="O45" s="47"/>
      <c r="P45" s="47"/>
    </row>
    <row r="46" spans="1:16" ht="15" hidden="1" customHeight="1">
      <c r="A46" s="27"/>
      <c r="B46" s="27"/>
      <c r="C46" s="27"/>
      <c r="D46" s="29" t="s">
        <v>321</v>
      </c>
      <c r="E46" s="108">
        <v>0</v>
      </c>
      <c r="F46" s="50">
        <v>0</v>
      </c>
      <c r="G46" s="51" t="e">
        <f t="shared" si="0"/>
        <v>#DIV/0!</v>
      </c>
      <c r="H46" s="43"/>
      <c r="I46" s="56"/>
      <c r="J46" s="47"/>
      <c r="K46" s="47"/>
      <c r="L46" s="47"/>
      <c r="M46" s="47"/>
      <c r="N46" s="47"/>
      <c r="O46" s="47"/>
      <c r="P46" s="47"/>
    </row>
    <row r="47" spans="1:16" ht="15.75" customHeight="1">
      <c r="A47" s="27"/>
      <c r="B47" s="27"/>
      <c r="C47" s="27">
        <v>4010</v>
      </c>
      <c r="D47" s="27" t="str">
        <f>'Zbiorczo-paragr'!D144</f>
        <v xml:space="preserve">Wynagrodzenia osobowe pracowników                       </v>
      </c>
      <c r="E47" s="108">
        <f>SUM(E48:E49)</f>
        <v>434600</v>
      </c>
      <c r="F47" s="50">
        <f>SUM(F48:F49)</f>
        <v>397000</v>
      </c>
      <c r="G47" s="51">
        <f t="shared" si="0"/>
        <v>0.91348366313851814</v>
      </c>
      <c r="H47" s="43" t="e">
        <f>F47/#REF!</f>
        <v>#REF!</v>
      </c>
      <c r="I47" s="56"/>
      <c r="J47" s="47"/>
      <c r="K47" s="47"/>
      <c r="L47" s="47"/>
      <c r="M47" s="47"/>
      <c r="N47" s="47"/>
      <c r="O47" s="47"/>
      <c r="P47" s="47"/>
    </row>
    <row r="48" spans="1:16" ht="30" customHeight="1">
      <c r="A48" s="27"/>
      <c r="B48" s="27"/>
      <c r="C48" s="27"/>
      <c r="D48" s="52" t="s">
        <v>194</v>
      </c>
      <c r="E48" s="109">
        <v>434600</v>
      </c>
      <c r="F48" s="53">
        <f>397000-3500</f>
        <v>393500</v>
      </c>
      <c r="G48" s="51">
        <f t="shared" si="0"/>
        <v>0.90543028071790155</v>
      </c>
      <c r="H48" s="43" t="e">
        <f>F48/#REF!</f>
        <v>#REF!</v>
      </c>
      <c r="I48" s="56"/>
      <c r="J48" s="47"/>
      <c r="K48" s="47"/>
      <c r="L48" s="47"/>
      <c r="M48" s="47"/>
      <c r="N48" s="47"/>
      <c r="O48" s="47"/>
      <c r="P48" s="47"/>
    </row>
    <row r="49" spans="1:16" ht="17.25" customHeight="1">
      <c r="A49" s="27"/>
      <c r="B49" s="27"/>
      <c r="C49" s="27"/>
      <c r="D49" s="29" t="s">
        <v>811</v>
      </c>
      <c r="E49" s="109">
        <v>0</v>
      </c>
      <c r="F49" s="53">
        <v>3500</v>
      </c>
      <c r="G49" s="51" t="e">
        <f t="shared" si="0"/>
        <v>#DIV/0!</v>
      </c>
      <c r="H49" s="43"/>
      <c r="I49" s="56"/>
      <c r="J49" s="47"/>
      <c r="K49" s="47"/>
      <c r="L49" s="47"/>
      <c r="M49" s="47"/>
      <c r="N49" s="47"/>
      <c r="O49" s="47"/>
      <c r="P49" s="47"/>
    </row>
    <row r="50" spans="1:16" ht="31.5" customHeight="1">
      <c r="A50" s="27"/>
      <c r="B50" s="27"/>
      <c r="C50" s="27">
        <v>4040</v>
      </c>
      <c r="D50" s="27" t="s">
        <v>227</v>
      </c>
      <c r="E50" s="109">
        <v>25000</v>
      </c>
      <c r="F50" s="53">
        <v>37000</v>
      </c>
      <c r="G50" s="51">
        <f t="shared" si="0"/>
        <v>1.48</v>
      </c>
      <c r="H50" s="43" t="e">
        <f>F50/#REF!</f>
        <v>#REF!</v>
      </c>
      <c r="I50" s="56"/>
      <c r="J50" s="47"/>
      <c r="K50" s="47"/>
      <c r="L50" s="47"/>
      <c r="M50" s="47"/>
      <c r="N50" s="47"/>
      <c r="O50" s="47"/>
      <c r="P50" s="47"/>
    </row>
    <row r="51" spans="1:16" ht="17.25" customHeight="1">
      <c r="A51" s="27"/>
      <c r="B51" s="27"/>
      <c r="C51" s="27">
        <v>4110</v>
      </c>
      <c r="D51" s="27" t="str">
        <f>'Zbiorczo-paragr'!D155</f>
        <v xml:space="preserve">Składki na ubezpieczenia społeczne                      </v>
      </c>
      <c r="E51" s="109">
        <v>90790</v>
      </c>
      <c r="F51" s="53">
        <v>82000</v>
      </c>
      <c r="G51" s="51">
        <f t="shared" si="0"/>
        <v>0.90318316995263792</v>
      </c>
      <c r="H51" s="43" t="e">
        <f>F51/#REF!</f>
        <v>#REF!</v>
      </c>
      <c r="I51" s="56"/>
      <c r="J51" s="47"/>
      <c r="K51" s="47"/>
      <c r="L51" s="47"/>
      <c r="M51" s="47"/>
      <c r="N51" s="47"/>
      <c r="O51" s="47"/>
      <c r="P51" s="47"/>
    </row>
    <row r="52" spans="1:16" ht="15.75" customHeight="1">
      <c r="A52" s="27"/>
      <c r="B52" s="27"/>
      <c r="C52" s="27">
        <v>4120</v>
      </c>
      <c r="D52" s="27" t="str">
        <f>'Zbiorczo-paragr'!D159</f>
        <v xml:space="preserve">Składki na Fundusz Pracy                                </v>
      </c>
      <c r="E52" s="109">
        <v>11230</v>
      </c>
      <c r="F52" s="53">
        <v>10000</v>
      </c>
      <c r="G52" s="51">
        <f t="shared" si="0"/>
        <v>0.89047195013357083</v>
      </c>
      <c r="H52" s="43" t="e">
        <f>F52/#REF!</f>
        <v>#REF!</v>
      </c>
      <c r="I52" s="56"/>
      <c r="J52" s="47"/>
      <c r="K52" s="47"/>
      <c r="L52" s="47"/>
      <c r="M52" s="47"/>
      <c r="N52" s="47"/>
      <c r="O52" s="47"/>
      <c r="P52" s="47"/>
    </row>
    <row r="53" spans="1:16" ht="15.75" hidden="1" customHeight="1">
      <c r="A53" s="27"/>
      <c r="B53" s="27"/>
      <c r="C53" s="27">
        <f>'Zbiorczo-paragr'!C163</f>
        <v>4190</v>
      </c>
      <c r="D53" s="27" t="str">
        <f>'Zbiorczo-paragr'!D163</f>
        <v>Nagrody konkursowe</v>
      </c>
      <c r="E53" s="109">
        <f>E54</f>
        <v>0</v>
      </c>
      <c r="F53" s="53">
        <f>F54</f>
        <v>0</v>
      </c>
      <c r="G53" s="51" t="e">
        <f t="shared" si="0"/>
        <v>#DIV/0!</v>
      </c>
      <c r="H53" s="43"/>
      <c r="I53" s="56"/>
      <c r="J53" s="47"/>
      <c r="K53" s="47"/>
      <c r="L53" s="47"/>
      <c r="M53" s="47"/>
      <c r="N53" s="47"/>
      <c r="O53" s="47"/>
      <c r="P53" s="47"/>
    </row>
    <row r="54" spans="1:16" ht="15.75" hidden="1" customHeight="1">
      <c r="A54" s="27"/>
      <c r="B54" s="27"/>
      <c r="C54" s="27"/>
      <c r="D54" s="27" t="s">
        <v>499</v>
      </c>
      <c r="E54" s="109">
        <v>0</v>
      </c>
      <c r="F54" s="53">
        <v>0</v>
      </c>
      <c r="G54" s="51" t="e">
        <f t="shared" si="0"/>
        <v>#DIV/0!</v>
      </c>
      <c r="H54" s="43"/>
      <c r="I54" s="56"/>
      <c r="J54" s="47"/>
      <c r="K54" s="47"/>
      <c r="L54" s="47"/>
      <c r="M54" s="47"/>
      <c r="N54" s="47"/>
      <c r="O54" s="47"/>
      <c r="P54" s="47"/>
    </row>
    <row r="55" spans="1:16" ht="15" customHeight="1">
      <c r="A55" s="27"/>
      <c r="B55" s="27"/>
      <c r="C55" s="27">
        <v>4210</v>
      </c>
      <c r="D55" s="27" t="str">
        <f>'Zbiorczo-paragr'!D167</f>
        <v xml:space="preserve">Zakup materiałów i wyposażenia                          </v>
      </c>
      <c r="E55" s="109">
        <f>SUM(E56)</f>
        <v>3500</v>
      </c>
      <c r="F55" s="53">
        <f>SUM(F56)</f>
        <v>3500</v>
      </c>
      <c r="G55" s="51">
        <f t="shared" si="0"/>
        <v>1</v>
      </c>
      <c r="H55" s="43" t="e">
        <f>F55/#REF!</f>
        <v>#REF!</v>
      </c>
      <c r="I55" s="56"/>
      <c r="J55" s="47"/>
      <c r="K55" s="47"/>
      <c r="L55" s="47"/>
      <c r="M55" s="47"/>
      <c r="N55" s="47"/>
      <c r="O55" s="47"/>
      <c r="P55" s="47"/>
    </row>
    <row r="56" spans="1:16" ht="16.5" customHeight="1">
      <c r="A56" s="27"/>
      <c r="B56" s="27"/>
      <c r="C56" s="27"/>
      <c r="D56" s="27" t="s">
        <v>550</v>
      </c>
      <c r="E56" s="109">
        <v>3500</v>
      </c>
      <c r="F56" s="53">
        <v>3500</v>
      </c>
      <c r="G56" s="51">
        <f t="shared" ref="G56:G61" si="1">SUM(F56/E56)</f>
        <v>1</v>
      </c>
      <c r="H56" s="43" t="e">
        <f>F56/#REF!</f>
        <v>#REF!</v>
      </c>
      <c r="I56" s="56">
        <v>3500</v>
      </c>
      <c r="J56" s="47"/>
      <c r="K56" s="47"/>
      <c r="L56" s="47"/>
      <c r="M56" s="47"/>
      <c r="N56" s="47"/>
      <c r="O56" s="47"/>
      <c r="P56" s="47"/>
    </row>
    <row r="57" spans="1:16" ht="18" customHeight="1">
      <c r="A57" s="27"/>
      <c r="B57" s="27"/>
      <c r="C57" s="27">
        <v>4240</v>
      </c>
      <c r="D57" s="27" t="str">
        <f>'Zbiorczo-paragr'!D171</f>
        <v xml:space="preserve">Zakup pomocy naukowych, dydaktycznych i książek         </v>
      </c>
      <c r="E57" s="109">
        <v>5100</v>
      </c>
      <c r="F57" s="53">
        <v>5400</v>
      </c>
      <c r="G57" s="51">
        <f t="shared" si="1"/>
        <v>1.0588235294117647</v>
      </c>
      <c r="H57" s="43" t="e">
        <f>F57/#REF!</f>
        <v>#REF!</v>
      </c>
      <c r="I57" s="56">
        <v>1500</v>
      </c>
      <c r="J57" s="47"/>
      <c r="K57" s="47"/>
      <c r="L57" s="47"/>
      <c r="M57" s="47"/>
      <c r="N57" s="47"/>
      <c r="O57" s="47"/>
      <c r="P57" s="47"/>
    </row>
    <row r="58" spans="1:16" ht="18" hidden="1" customHeight="1">
      <c r="A58" s="27"/>
      <c r="B58" s="27"/>
      <c r="C58" s="27">
        <f>'Zbiorczo-paragr'!C175</f>
        <v>4300</v>
      </c>
      <c r="D58" s="27" t="str">
        <f>'Zbiorczo-paragr'!D175</f>
        <v xml:space="preserve">Zakup usług pozostałych                                 </v>
      </c>
      <c r="E58" s="109">
        <f>E59</f>
        <v>0</v>
      </c>
      <c r="F58" s="53">
        <f>F59</f>
        <v>0</v>
      </c>
      <c r="G58" s="51" t="e">
        <f t="shared" si="1"/>
        <v>#DIV/0!</v>
      </c>
      <c r="H58" s="43" t="e">
        <f>F58/#REF!</f>
        <v>#REF!</v>
      </c>
      <c r="I58" s="56"/>
      <c r="J58" s="47"/>
      <c r="K58" s="47"/>
      <c r="L58" s="47"/>
      <c r="M58" s="47"/>
      <c r="N58" s="47"/>
      <c r="O58" s="47"/>
      <c r="P58" s="47"/>
    </row>
    <row r="59" spans="1:16" ht="18" hidden="1" customHeight="1">
      <c r="A59" s="27"/>
      <c r="B59" s="27"/>
      <c r="C59" s="27"/>
      <c r="D59" s="27" t="s">
        <v>215</v>
      </c>
      <c r="E59" s="109">
        <v>0</v>
      </c>
      <c r="F59" s="53">
        <v>0</v>
      </c>
      <c r="G59" s="51" t="e">
        <f t="shared" si="1"/>
        <v>#DIV/0!</v>
      </c>
      <c r="H59" s="43" t="e">
        <f>F59/#REF!</f>
        <v>#REF!</v>
      </c>
      <c r="I59" s="56"/>
      <c r="J59" s="47"/>
      <c r="K59" s="47"/>
      <c r="L59" s="47"/>
      <c r="M59" s="47"/>
      <c r="N59" s="47"/>
      <c r="O59" s="47"/>
      <c r="P59" s="47"/>
    </row>
    <row r="60" spans="1:16" ht="30.75" customHeight="1">
      <c r="A60" s="27"/>
      <c r="B60" s="27"/>
      <c r="C60" s="27">
        <v>4440</v>
      </c>
      <c r="D60" s="27" t="s">
        <v>339</v>
      </c>
      <c r="E60" s="109">
        <v>23678</v>
      </c>
      <c r="F60" s="53">
        <v>23606</v>
      </c>
      <c r="G60" s="51">
        <f t="shared" si="1"/>
        <v>0.99695920263535776</v>
      </c>
      <c r="H60" s="43" t="e">
        <f>F60/#REF!</f>
        <v>#REF!</v>
      </c>
      <c r="I60" s="56"/>
      <c r="J60" s="47"/>
      <c r="K60" s="47"/>
      <c r="L60" s="47"/>
      <c r="M60" s="47"/>
      <c r="N60" s="47"/>
      <c r="O60" s="47"/>
      <c r="P60" s="47"/>
    </row>
    <row r="61" spans="1:16" ht="20.25" customHeight="1">
      <c r="A61" s="490" t="str">
        <f>'Zbiorczo-paragr'!A183:D183</f>
        <v>80103 Oddziały przedszkolne w szkołach podstawowych : Razem</v>
      </c>
      <c r="B61" s="507"/>
      <c r="C61" s="507"/>
      <c r="D61" s="508"/>
      <c r="E61" s="110">
        <f>SUM(E44+E47+E50+E51+E52+E53+E55+E57+E58+E60)</f>
        <v>639878</v>
      </c>
      <c r="F61" s="54">
        <f>SUM(F44+F47+F50+F51+F52+F53+F55+F57+F58+F60)</f>
        <v>587506</v>
      </c>
      <c r="G61" s="55">
        <f t="shared" si="1"/>
        <v>0.91815314794382674</v>
      </c>
      <c r="H61" s="43" t="e">
        <f>F61/#REF!</f>
        <v>#REF!</v>
      </c>
      <c r="I61" s="56"/>
      <c r="J61" s="47"/>
      <c r="K61" s="47"/>
      <c r="L61" s="47"/>
      <c r="M61" s="47"/>
      <c r="N61" s="47"/>
      <c r="O61" s="47"/>
      <c r="P61" s="47"/>
    </row>
    <row r="62" spans="1:16" ht="15.75">
      <c r="A62" s="15">
        <f>SUM('Zbiorczo-paragr'!A316)</f>
        <v>801</v>
      </c>
      <c r="B62" s="15">
        <f>SUM('Zbiorczo-paragr'!B316)</f>
        <v>80110</v>
      </c>
      <c r="C62" s="15">
        <f>SUM('Zbiorczo-paragr'!C316)</f>
        <v>3020</v>
      </c>
      <c r="D62" s="27" t="str">
        <f>'Zbiorczo-paragr'!D316</f>
        <v xml:space="preserve"> Wydatki osobowe nie zaliczone do wynagrodzeń  </v>
      </c>
      <c r="E62" s="108">
        <f>SUM(E63:E64)</f>
        <v>75000</v>
      </c>
      <c r="F62" s="108">
        <f>SUM(F63:F64)</f>
        <v>18780</v>
      </c>
      <c r="G62" s="51">
        <f t="shared" ref="G62:G100" si="2">SUM(F62/E62)</f>
        <v>0.25040000000000001</v>
      </c>
      <c r="H62" s="43" t="e">
        <f>F62/#REF!</f>
        <v>#REF!</v>
      </c>
      <c r="I62" s="56"/>
      <c r="J62" s="47"/>
      <c r="K62" s="47"/>
      <c r="L62" s="47"/>
      <c r="M62" s="47"/>
      <c r="N62" s="47"/>
      <c r="O62" s="47"/>
      <c r="P62" s="47"/>
    </row>
    <row r="63" spans="1:16" ht="17.25" customHeight="1">
      <c r="A63" s="15"/>
      <c r="B63" s="27"/>
      <c r="C63" s="27"/>
      <c r="D63" s="29" t="s">
        <v>778</v>
      </c>
      <c r="E63" s="108">
        <f>75000-E64</f>
        <v>72000</v>
      </c>
      <c r="F63" s="50">
        <f>17000</f>
        <v>17000</v>
      </c>
      <c r="G63" s="51">
        <f t="shared" si="2"/>
        <v>0.2361111111111111</v>
      </c>
      <c r="H63" s="43" t="e">
        <f>F63/#REF!</f>
        <v>#REF!</v>
      </c>
      <c r="I63" s="56"/>
      <c r="J63" s="47"/>
      <c r="K63" s="47"/>
      <c r="L63" s="47"/>
      <c r="M63" s="47"/>
      <c r="N63" s="47"/>
      <c r="O63" s="47"/>
      <c r="P63" s="47"/>
    </row>
    <row r="64" spans="1:16" ht="16.899999999999999" customHeight="1">
      <c r="A64" s="15"/>
      <c r="B64" s="27"/>
      <c r="C64" s="27"/>
      <c r="D64" s="29" t="s">
        <v>631</v>
      </c>
      <c r="E64" s="108">
        <f>3000</f>
        <v>3000</v>
      </c>
      <c r="F64" s="50">
        <v>1780</v>
      </c>
      <c r="G64" s="51">
        <f t="shared" si="2"/>
        <v>0.59333333333333338</v>
      </c>
      <c r="H64" s="43"/>
      <c r="I64" s="56"/>
      <c r="J64" s="47"/>
      <c r="K64" s="47"/>
      <c r="L64" s="47"/>
      <c r="M64" s="47"/>
      <c r="N64" s="47"/>
      <c r="O64" s="47"/>
      <c r="P64" s="47"/>
    </row>
    <row r="65" spans="1:16" ht="17.25" customHeight="1">
      <c r="A65" s="15"/>
      <c r="B65" s="27"/>
      <c r="C65" s="27">
        <f>'Zbiorczo-paragr'!C320</f>
        <v>4010</v>
      </c>
      <c r="D65" s="27" t="str">
        <f>'Zbiorczo-paragr'!D320</f>
        <v xml:space="preserve">Wynagrodzenia osobowe pracowników                       </v>
      </c>
      <c r="E65" s="108">
        <f>SUM(E66:E67)</f>
        <v>1092520</v>
      </c>
      <c r="F65" s="50">
        <f>SUM(F66:F67)</f>
        <v>468000</v>
      </c>
      <c r="G65" s="51">
        <f t="shared" si="2"/>
        <v>0.42836744407425037</v>
      </c>
      <c r="H65" s="43" t="e">
        <f>F65/#REF!</f>
        <v>#REF!</v>
      </c>
      <c r="I65" s="56"/>
      <c r="J65" s="47"/>
      <c r="K65" s="47"/>
      <c r="L65" s="47"/>
      <c r="M65" s="47"/>
      <c r="N65" s="47"/>
      <c r="O65" s="47"/>
      <c r="P65" s="47"/>
    </row>
    <row r="66" spans="1:16" ht="29.25" customHeight="1">
      <c r="A66" s="15"/>
      <c r="B66" s="27"/>
      <c r="C66" s="27"/>
      <c r="D66" s="52" t="s">
        <v>791</v>
      </c>
      <c r="E66" s="109">
        <f>1092520-E67</f>
        <v>1085020</v>
      </c>
      <c r="F66" s="53">
        <f>450000</f>
        <v>450000</v>
      </c>
      <c r="G66" s="51">
        <f t="shared" si="2"/>
        <v>0.41473889882214154</v>
      </c>
      <c r="H66" s="43" t="e">
        <f>F66/#REF!</f>
        <v>#REF!</v>
      </c>
      <c r="I66" s="56"/>
      <c r="J66" s="47"/>
      <c r="K66" s="47"/>
      <c r="L66" s="47"/>
      <c r="M66" s="47"/>
      <c r="N66" s="47"/>
      <c r="O66" s="47"/>
      <c r="P66" s="47"/>
    </row>
    <row r="67" spans="1:16" ht="17.25" customHeight="1">
      <c r="A67" s="15"/>
      <c r="B67" s="27"/>
      <c r="C67" s="27"/>
      <c r="D67" s="27" t="s">
        <v>760</v>
      </c>
      <c r="E67" s="109">
        <v>7500</v>
      </c>
      <c r="F67" s="53">
        <f>1500+16500</f>
        <v>18000</v>
      </c>
      <c r="G67" s="51">
        <f t="shared" si="2"/>
        <v>2.4</v>
      </c>
      <c r="H67" s="43"/>
      <c r="I67" s="56"/>
      <c r="J67" s="47"/>
      <c r="K67" s="47"/>
      <c r="L67" s="47"/>
      <c r="M67" s="47"/>
      <c r="N67" s="47"/>
      <c r="O67" s="47"/>
      <c r="P67" s="47"/>
    </row>
    <row r="68" spans="1:16" ht="32.25" customHeight="1">
      <c r="A68" s="15"/>
      <c r="B68" s="27"/>
      <c r="C68" s="27">
        <f>'Zbiorczo-paragr'!C327</f>
        <v>4040</v>
      </c>
      <c r="D68" s="27" t="s">
        <v>227</v>
      </c>
      <c r="E68" s="109">
        <v>114000</v>
      </c>
      <c r="F68" s="53">
        <v>88400</v>
      </c>
      <c r="G68" s="51">
        <f t="shared" si="2"/>
        <v>0.77543859649122804</v>
      </c>
      <c r="H68" s="43" t="e">
        <f>F68/#REF!</f>
        <v>#REF!</v>
      </c>
      <c r="I68" s="56"/>
      <c r="J68" s="47"/>
      <c r="K68" s="47"/>
      <c r="L68" s="47"/>
      <c r="M68" s="47"/>
      <c r="N68" s="47"/>
      <c r="O68" s="47"/>
      <c r="P68" s="47"/>
    </row>
    <row r="69" spans="1:16" ht="15" customHeight="1">
      <c r="A69" s="15"/>
      <c r="B69" s="27"/>
      <c r="C69" s="27">
        <f>'Zbiorczo-paragr'!C331</f>
        <v>4110</v>
      </c>
      <c r="D69" s="27" t="str">
        <f>'Zbiorczo-paragr'!D331</f>
        <v xml:space="preserve">Składki na ubezpieczenia społeczne                      </v>
      </c>
      <c r="E69" s="109">
        <v>223630</v>
      </c>
      <c r="F69" s="53">
        <v>95500</v>
      </c>
      <c r="G69" s="51">
        <f t="shared" si="2"/>
        <v>0.42704467200286189</v>
      </c>
      <c r="H69" s="43" t="e">
        <f>F69/#REF!</f>
        <v>#REF!</v>
      </c>
      <c r="I69" s="56"/>
      <c r="J69" s="47"/>
      <c r="K69" s="47"/>
      <c r="L69" s="47"/>
      <c r="M69" s="47"/>
      <c r="N69" s="47"/>
      <c r="O69" s="47"/>
      <c r="P69" s="47"/>
    </row>
    <row r="70" spans="1:16" ht="16.5" customHeight="1">
      <c r="A70" s="15"/>
      <c r="B70" s="27"/>
      <c r="C70" s="27">
        <f>'Zbiorczo-paragr'!C335</f>
        <v>4120</v>
      </c>
      <c r="D70" s="27" t="str">
        <f>'Zbiorczo-paragr'!D335</f>
        <v xml:space="preserve">Składki na Fundusz Pracy                                </v>
      </c>
      <c r="E70" s="109">
        <v>29060</v>
      </c>
      <c r="F70" s="53">
        <v>12000</v>
      </c>
      <c r="G70" s="51">
        <f t="shared" si="2"/>
        <v>0.41293874741913283</v>
      </c>
      <c r="H70" s="43" t="e">
        <f>F70/#REF!</f>
        <v>#REF!</v>
      </c>
      <c r="I70" s="56"/>
      <c r="J70" s="47"/>
      <c r="K70" s="47"/>
      <c r="L70" s="47"/>
      <c r="M70" s="47"/>
      <c r="N70" s="47"/>
      <c r="O70" s="47"/>
      <c r="P70" s="47"/>
    </row>
    <row r="71" spans="1:16" ht="15" hidden="1" customHeight="1">
      <c r="A71" s="15"/>
      <c r="B71" s="27"/>
      <c r="C71" s="28">
        <v>4170</v>
      </c>
      <c r="D71" s="28" t="s">
        <v>235</v>
      </c>
      <c r="E71" s="109">
        <f>SUM(E72)</f>
        <v>0</v>
      </c>
      <c r="F71" s="53">
        <f>SUM(F72)</f>
        <v>0</v>
      </c>
      <c r="G71" s="51" t="e">
        <f t="shared" si="2"/>
        <v>#DIV/0!</v>
      </c>
      <c r="H71" s="43" t="e">
        <f>F71/#REF!</f>
        <v>#REF!</v>
      </c>
      <c r="I71" s="56"/>
      <c r="J71" s="47"/>
      <c r="K71" s="47"/>
      <c r="L71" s="47"/>
      <c r="M71" s="47"/>
      <c r="N71" s="47"/>
      <c r="O71" s="47"/>
      <c r="P71" s="47"/>
    </row>
    <row r="72" spans="1:16" ht="34.5" hidden="1" customHeight="1">
      <c r="A72" s="15"/>
      <c r="B72" s="27"/>
      <c r="C72" s="28"/>
      <c r="D72" s="27" t="s">
        <v>145</v>
      </c>
      <c r="E72" s="109">
        <v>0</v>
      </c>
      <c r="F72" s="53">
        <v>0</v>
      </c>
      <c r="G72" s="51" t="e">
        <f t="shared" si="2"/>
        <v>#DIV/0!</v>
      </c>
      <c r="H72" s="43" t="e">
        <f>F72/#REF!</f>
        <v>#REF!</v>
      </c>
      <c r="I72" s="56"/>
      <c r="J72" s="47"/>
      <c r="K72" s="47"/>
      <c r="L72" s="47"/>
      <c r="M72" s="47"/>
      <c r="N72" s="47"/>
      <c r="O72" s="47"/>
      <c r="P72" s="47"/>
    </row>
    <row r="73" spans="1:16" ht="18" hidden="1" customHeight="1">
      <c r="A73" s="15"/>
      <c r="B73" s="27"/>
      <c r="C73" s="28">
        <v>4190</v>
      </c>
      <c r="D73" s="27" t="str">
        <f>'Zbiorczo-paragr'!D343</f>
        <v>Nagrody konkursowe</v>
      </c>
      <c r="E73" s="109">
        <f>E74</f>
        <v>0</v>
      </c>
      <c r="F73" s="53">
        <f>F74</f>
        <v>0</v>
      </c>
      <c r="G73" s="51" t="e">
        <f t="shared" si="2"/>
        <v>#DIV/0!</v>
      </c>
      <c r="H73" s="43"/>
      <c r="I73" s="56"/>
      <c r="J73" s="47"/>
      <c r="K73" s="47"/>
      <c r="L73" s="47"/>
      <c r="M73" s="47"/>
      <c r="N73" s="47"/>
      <c r="O73" s="47"/>
      <c r="P73" s="47"/>
    </row>
    <row r="74" spans="1:16" ht="19.5" hidden="1" customHeight="1">
      <c r="A74" s="15"/>
      <c r="B74" s="27"/>
      <c r="C74" s="28"/>
      <c r="D74" s="27" t="s">
        <v>456</v>
      </c>
      <c r="E74" s="109">
        <v>0</v>
      </c>
      <c r="F74" s="53">
        <v>0</v>
      </c>
      <c r="G74" s="51" t="e">
        <f t="shared" si="2"/>
        <v>#DIV/0!</v>
      </c>
      <c r="H74" s="43"/>
      <c r="I74" s="56"/>
      <c r="J74" s="47"/>
      <c r="K74" s="47"/>
      <c r="L74" s="47"/>
      <c r="M74" s="47"/>
      <c r="N74" s="47"/>
      <c r="O74" s="47"/>
      <c r="P74" s="47"/>
    </row>
    <row r="75" spans="1:16" ht="15.75">
      <c r="A75" s="15"/>
      <c r="B75" s="27"/>
      <c r="C75" s="27">
        <f>'Zbiorczo-paragr'!C347</f>
        <v>4210</v>
      </c>
      <c r="D75" s="27" t="str">
        <f>'Zbiorczo-paragr'!D347</f>
        <v xml:space="preserve">Zakup materiałów i wyposażenia                          </v>
      </c>
      <c r="E75" s="108">
        <f>SUM(E76)</f>
        <v>23610</v>
      </c>
      <c r="F75" s="50">
        <f>SUM(F76)</f>
        <v>16000</v>
      </c>
      <c r="G75" s="51">
        <f t="shared" si="2"/>
        <v>0.67767894959762809</v>
      </c>
      <c r="H75" s="43" t="e">
        <f>F75/#REF!</f>
        <v>#REF!</v>
      </c>
      <c r="I75" s="56"/>
      <c r="J75" s="47"/>
      <c r="K75" s="47"/>
      <c r="L75" s="47"/>
      <c r="M75" s="47"/>
      <c r="N75" s="47"/>
      <c r="O75" s="47"/>
      <c r="P75" s="47"/>
    </row>
    <row r="76" spans="1:16" ht="44.25" customHeight="1">
      <c r="A76" s="15"/>
      <c r="B76" s="27"/>
      <c r="C76" s="27"/>
      <c r="D76" s="29" t="s">
        <v>792</v>
      </c>
      <c r="E76" s="108">
        <v>23610</v>
      </c>
      <c r="F76" s="50">
        <v>16000</v>
      </c>
      <c r="G76" s="51">
        <f t="shared" si="2"/>
        <v>0.67767894959762809</v>
      </c>
      <c r="H76" s="43" t="e">
        <f>F76/#REF!</f>
        <v>#REF!</v>
      </c>
      <c r="I76" s="56">
        <v>35000</v>
      </c>
      <c r="J76" s="56"/>
      <c r="K76" s="47"/>
      <c r="L76" s="47"/>
      <c r="M76" s="47"/>
      <c r="N76" s="47"/>
      <c r="O76" s="47"/>
      <c r="P76" s="47"/>
    </row>
    <row r="77" spans="1:16" ht="18" hidden="1" customHeight="1">
      <c r="A77" s="15"/>
      <c r="B77" s="27"/>
      <c r="C77" s="27">
        <f>'Zbiorczo-paragr'!C351</f>
        <v>4220</v>
      </c>
      <c r="D77" s="27" t="str">
        <f>'Zbiorczo-paragr'!D351</f>
        <v xml:space="preserve">Zakup środków żywności    </v>
      </c>
      <c r="E77" s="108">
        <f>E78</f>
        <v>0</v>
      </c>
      <c r="F77" s="50">
        <f>F78</f>
        <v>0</v>
      </c>
      <c r="G77" s="51" t="e">
        <f t="shared" si="2"/>
        <v>#DIV/0!</v>
      </c>
      <c r="H77" s="43"/>
      <c r="I77" s="56"/>
      <c r="J77" s="56"/>
      <c r="K77" s="47"/>
      <c r="L77" s="47"/>
      <c r="M77" s="47"/>
      <c r="N77" s="47"/>
      <c r="O77" s="47"/>
      <c r="P77" s="47"/>
    </row>
    <row r="78" spans="1:16" ht="18" hidden="1" customHeight="1">
      <c r="A78" s="15"/>
      <c r="B78" s="27"/>
      <c r="C78" s="27"/>
      <c r="D78" s="29" t="s">
        <v>493</v>
      </c>
      <c r="E78" s="108"/>
      <c r="F78" s="50"/>
      <c r="G78" s="51" t="e">
        <f t="shared" si="2"/>
        <v>#DIV/0!</v>
      </c>
      <c r="H78" s="43"/>
      <c r="I78" s="56"/>
      <c r="J78" s="56"/>
      <c r="K78" s="47"/>
      <c r="L78" s="47"/>
      <c r="M78" s="47"/>
      <c r="N78" s="47"/>
      <c r="O78" s="47"/>
      <c r="P78" s="47"/>
    </row>
    <row r="79" spans="1:16" ht="18" customHeight="1">
      <c r="A79" s="15"/>
      <c r="B79" s="27"/>
      <c r="C79" s="27">
        <f>'Zbiorczo-paragr'!C355</f>
        <v>4240</v>
      </c>
      <c r="D79" s="27" t="s">
        <v>18</v>
      </c>
      <c r="E79" s="109">
        <f>E80+E82+E81</f>
        <v>9000</v>
      </c>
      <c r="F79" s="53">
        <f>F80+F82+F81</f>
        <v>5000</v>
      </c>
      <c r="G79" s="51">
        <f t="shared" si="2"/>
        <v>0.55555555555555558</v>
      </c>
      <c r="H79" s="43" t="e">
        <f>F79/#REF!</f>
        <v>#REF!</v>
      </c>
      <c r="I79" s="56">
        <v>17000</v>
      </c>
      <c r="J79" s="56"/>
      <c r="K79" s="47"/>
      <c r="L79" s="47"/>
      <c r="M79" s="47"/>
      <c r="N79" s="47"/>
      <c r="O79" s="47"/>
      <c r="P79" s="47"/>
    </row>
    <row r="80" spans="1:16" ht="19.5" customHeight="1">
      <c r="A80" s="15"/>
      <c r="B80" s="27"/>
      <c r="C80" s="27"/>
      <c r="D80" s="27" t="s">
        <v>18</v>
      </c>
      <c r="E80" s="109">
        <v>9000</v>
      </c>
      <c r="F80" s="53">
        <v>5000</v>
      </c>
      <c r="G80" s="51">
        <f t="shared" si="2"/>
        <v>0.55555555555555558</v>
      </c>
      <c r="H80" s="43"/>
      <c r="I80" s="56"/>
      <c r="J80" s="56"/>
      <c r="K80" s="47"/>
      <c r="L80" s="47"/>
      <c r="M80" s="47"/>
      <c r="N80" s="47"/>
      <c r="O80" s="47"/>
      <c r="P80" s="47"/>
    </row>
    <row r="81" spans="1:16" ht="19.5" hidden="1" customHeight="1">
      <c r="A81" s="15"/>
      <c r="B81" s="27"/>
      <c r="C81" s="27"/>
      <c r="D81" s="27" t="s">
        <v>187</v>
      </c>
      <c r="E81" s="109">
        <v>0</v>
      </c>
      <c r="F81" s="53">
        <v>0</v>
      </c>
      <c r="G81" s="51" t="e">
        <f t="shared" si="2"/>
        <v>#DIV/0!</v>
      </c>
      <c r="H81" s="43"/>
      <c r="I81" s="56"/>
      <c r="J81" s="56"/>
      <c r="K81" s="47"/>
      <c r="L81" s="47"/>
      <c r="M81" s="47"/>
      <c r="N81" s="47"/>
      <c r="O81" s="47"/>
      <c r="P81" s="47"/>
    </row>
    <row r="82" spans="1:16" ht="17.25" hidden="1" customHeight="1">
      <c r="A82" s="15"/>
      <c r="B82" s="27"/>
      <c r="C82" s="27"/>
      <c r="D82" s="27" t="s">
        <v>608</v>
      </c>
      <c r="E82" s="109">
        <v>0</v>
      </c>
      <c r="F82" s="53">
        <v>0</v>
      </c>
      <c r="G82" s="51" t="e">
        <f t="shared" si="2"/>
        <v>#DIV/0!</v>
      </c>
      <c r="H82" s="43"/>
      <c r="I82" s="56"/>
      <c r="J82" s="56"/>
      <c r="K82" s="47"/>
      <c r="L82" s="47"/>
      <c r="M82" s="47"/>
      <c r="N82" s="47"/>
      <c r="O82" s="47"/>
      <c r="P82" s="47"/>
    </row>
    <row r="83" spans="1:16" ht="17.25" customHeight="1">
      <c r="A83" s="15"/>
      <c r="B83" s="27"/>
      <c r="C83" s="27">
        <f>'Zbiorczo-paragr'!C359</f>
        <v>4270</v>
      </c>
      <c r="D83" s="27" t="str">
        <f>'Zbiorczo-paragr'!D359</f>
        <v xml:space="preserve">Zakup usług remontowych                                 </v>
      </c>
      <c r="E83" s="108">
        <f>SUM(E84:E85)</f>
        <v>3000</v>
      </c>
      <c r="F83" s="50">
        <f>SUM(F84:F85)</f>
        <v>1500</v>
      </c>
      <c r="G83" s="51">
        <f t="shared" si="2"/>
        <v>0.5</v>
      </c>
      <c r="H83" s="43" t="e">
        <f>F83/#REF!</f>
        <v>#REF!</v>
      </c>
      <c r="I83" s="56"/>
      <c r="J83" s="47"/>
      <c r="K83" s="47"/>
      <c r="L83" s="47"/>
      <c r="M83" s="47"/>
      <c r="N83" s="47"/>
      <c r="O83" s="47"/>
      <c r="P83" s="47"/>
    </row>
    <row r="84" spans="1:16" ht="19.5" customHeight="1">
      <c r="A84" s="15"/>
      <c r="B84" s="27"/>
      <c r="C84" s="27"/>
      <c r="D84" s="27" t="s">
        <v>350</v>
      </c>
      <c r="E84" s="109">
        <v>3000</v>
      </c>
      <c r="F84" s="53">
        <v>1500</v>
      </c>
      <c r="G84" s="51">
        <f t="shared" si="2"/>
        <v>0.5</v>
      </c>
      <c r="H84" s="43" t="e">
        <f>F84/#REF!</f>
        <v>#REF!</v>
      </c>
      <c r="I84" s="56">
        <v>4000</v>
      </c>
      <c r="J84" s="47"/>
      <c r="K84" s="47"/>
      <c r="L84" s="47"/>
      <c r="M84" s="47"/>
      <c r="N84" s="47"/>
      <c r="O84" s="47"/>
      <c r="P84" s="47"/>
    </row>
    <row r="85" spans="1:16" ht="60.75" hidden="1" customHeight="1">
      <c r="A85" s="15"/>
      <c r="B85" s="27"/>
      <c r="C85" s="27"/>
      <c r="D85" s="27" t="s">
        <v>551</v>
      </c>
      <c r="E85" s="109">
        <v>0</v>
      </c>
      <c r="F85" s="53">
        <v>0</v>
      </c>
      <c r="G85" s="51" t="e">
        <f t="shared" si="2"/>
        <v>#DIV/0!</v>
      </c>
      <c r="H85" s="43"/>
      <c r="I85" s="56"/>
      <c r="J85" s="47"/>
      <c r="K85" s="47"/>
      <c r="L85" s="47"/>
      <c r="M85" s="47"/>
      <c r="N85" s="47"/>
      <c r="O85" s="47"/>
      <c r="P85" s="47"/>
    </row>
    <row r="86" spans="1:16" ht="30" customHeight="1">
      <c r="A86" s="15"/>
      <c r="B86" s="27"/>
      <c r="C86" s="27">
        <f>'Zbiorczo-paragr'!C365</f>
        <v>4280</v>
      </c>
      <c r="D86" s="27" t="s">
        <v>374</v>
      </c>
      <c r="E86" s="109">
        <v>2500</v>
      </c>
      <c r="F86" s="53">
        <v>500</v>
      </c>
      <c r="G86" s="51">
        <f t="shared" si="2"/>
        <v>0.2</v>
      </c>
      <c r="H86" s="43" t="e">
        <f>F86/#REF!</f>
        <v>#REF!</v>
      </c>
      <c r="I86" s="56"/>
      <c r="J86" s="47"/>
      <c r="K86" s="47"/>
      <c r="L86" s="47"/>
      <c r="M86" s="47"/>
      <c r="N86" s="47"/>
      <c r="O86" s="47"/>
      <c r="P86" s="47"/>
    </row>
    <row r="87" spans="1:16" ht="15.75">
      <c r="A87" s="15"/>
      <c r="B87" s="27"/>
      <c r="C87" s="27">
        <f>'Zbiorczo-paragr'!C369</f>
        <v>4300</v>
      </c>
      <c r="D87" s="27" t="str">
        <f>'Zbiorczo-paragr'!D369</f>
        <v xml:space="preserve">Zakup usług pozostałych                                 </v>
      </c>
      <c r="E87" s="108">
        <f>SUM(E88)</f>
        <v>15000</v>
      </c>
      <c r="F87" s="50">
        <f>SUM(F88)</f>
        <v>11000</v>
      </c>
      <c r="G87" s="51">
        <f t="shared" si="2"/>
        <v>0.73333333333333328</v>
      </c>
      <c r="H87" s="43" t="e">
        <f>F87/#REF!</f>
        <v>#REF!</v>
      </c>
      <c r="I87" s="56"/>
      <c r="J87" s="47"/>
      <c r="K87" s="47"/>
      <c r="L87" s="47"/>
      <c r="M87" s="47"/>
      <c r="N87" s="47"/>
      <c r="O87" s="47"/>
      <c r="P87" s="47"/>
    </row>
    <row r="88" spans="1:16" ht="46.5" customHeight="1">
      <c r="A88" s="15"/>
      <c r="B88" s="27"/>
      <c r="C88" s="27"/>
      <c r="D88" s="27" t="s">
        <v>794</v>
      </c>
      <c r="E88" s="108">
        <v>15000</v>
      </c>
      <c r="F88" s="50">
        <v>11000</v>
      </c>
      <c r="G88" s="51">
        <f t="shared" si="2"/>
        <v>0.73333333333333328</v>
      </c>
      <c r="H88" s="43" t="e">
        <f>F88/#REF!</f>
        <v>#REF!</v>
      </c>
      <c r="I88" s="56">
        <v>21500</v>
      </c>
      <c r="J88" s="47"/>
      <c r="K88" s="47"/>
      <c r="L88" s="47"/>
      <c r="M88" s="47"/>
      <c r="N88" s="47"/>
      <c r="O88" s="47"/>
      <c r="P88" s="47"/>
    </row>
    <row r="89" spans="1:16" ht="15.75" customHeight="1">
      <c r="A89" s="15"/>
      <c r="B89" s="27"/>
      <c r="C89" s="27">
        <v>4360</v>
      </c>
      <c r="D89" s="27" t="str">
        <f>'Zbiorczo-paragr'!D373</f>
        <v xml:space="preserve">Opłaty z tytułu zakupu usług telekomunikacyjnych   </v>
      </c>
      <c r="E89" s="108">
        <f>SUM(E90)</f>
        <v>850</v>
      </c>
      <c r="F89" s="50">
        <f>SUM(F90)</f>
        <v>700</v>
      </c>
      <c r="G89" s="51">
        <f t="shared" si="2"/>
        <v>0.82352941176470584</v>
      </c>
      <c r="H89" s="43" t="e">
        <f>F89/#REF!</f>
        <v>#REF!</v>
      </c>
      <c r="I89" s="56"/>
      <c r="J89" s="47"/>
      <c r="K89" s="47"/>
      <c r="L89" s="47"/>
      <c r="M89" s="47"/>
      <c r="N89" s="47"/>
      <c r="O89" s="47"/>
      <c r="P89" s="47"/>
    </row>
    <row r="90" spans="1:16" ht="17.25" customHeight="1">
      <c r="A90" s="15"/>
      <c r="B90" s="27"/>
      <c r="C90" s="27"/>
      <c r="D90" s="27" t="s">
        <v>465</v>
      </c>
      <c r="E90" s="108">
        <v>850</v>
      </c>
      <c r="F90" s="50">
        <v>700</v>
      </c>
      <c r="G90" s="51">
        <f t="shared" si="2"/>
        <v>0.82352941176470584</v>
      </c>
      <c r="H90" s="43" t="e">
        <f>F90/#REF!</f>
        <v>#REF!</v>
      </c>
      <c r="I90" s="56"/>
      <c r="J90" s="47"/>
      <c r="K90" s="47"/>
      <c r="L90" s="47"/>
      <c r="M90" s="47"/>
      <c r="N90" s="47"/>
      <c r="O90" s="47"/>
      <c r="P90" s="47"/>
    </row>
    <row r="91" spans="1:16" ht="15" customHeight="1">
      <c r="A91" s="15"/>
      <c r="B91" s="27"/>
      <c r="C91" s="27">
        <f>'Zbiorczo-paragr'!C376</f>
        <v>4410</v>
      </c>
      <c r="D91" s="27" t="str">
        <f>'Zbiorczo-paragr'!D376</f>
        <v xml:space="preserve">Podróże służbowe krajowe                                </v>
      </c>
      <c r="E91" s="108">
        <f>SUM(E92)</f>
        <v>2000</v>
      </c>
      <c r="F91" s="50">
        <f>SUM(F92)</f>
        <v>50</v>
      </c>
      <c r="G91" s="51">
        <f t="shared" si="2"/>
        <v>2.5000000000000001E-2</v>
      </c>
      <c r="H91" s="43" t="e">
        <f>F91/#REF!</f>
        <v>#REF!</v>
      </c>
      <c r="I91" s="56"/>
      <c r="J91" s="47"/>
      <c r="K91" s="47"/>
      <c r="L91" s="47"/>
      <c r="M91" s="47"/>
      <c r="N91" s="47"/>
      <c r="O91" s="47"/>
      <c r="P91" s="47"/>
    </row>
    <row r="92" spans="1:16" ht="47.25" customHeight="1">
      <c r="A92" s="15"/>
      <c r="B92" s="27"/>
      <c r="C92" s="27"/>
      <c r="D92" s="27" t="s">
        <v>221</v>
      </c>
      <c r="E92" s="108">
        <v>2000</v>
      </c>
      <c r="F92" s="50">
        <v>50</v>
      </c>
      <c r="G92" s="51">
        <f t="shared" si="2"/>
        <v>2.5000000000000001E-2</v>
      </c>
      <c r="H92" s="43" t="e">
        <f>F92/#REF!</f>
        <v>#REF!</v>
      </c>
      <c r="I92" s="56"/>
      <c r="J92" s="47"/>
      <c r="K92" s="47"/>
      <c r="L92" s="47"/>
      <c r="M92" s="47"/>
      <c r="N92" s="47"/>
      <c r="O92" s="47"/>
      <c r="P92" s="47"/>
    </row>
    <row r="93" spans="1:16" ht="16.5" hidden="1" customHeight="1">
      <c r="A93" s="15"/>
      <c r="B93" s="27"/>
      <c r="C93" s="20">
        <v>4420</v>
      </c>
      <c r="D93" s="21" t="s">
        <v>360</v>
      </c>
      <c r="E93" s="108">
        <f>SUM(E94)</f>
        <v>0</v>
      </c>
      <c r="F93" s="50">
        <f>SUM(F94)</f>
        <v>0</v>
      </c>
      <c r="G93" s="51" t="e">
        <f t="shared" si="2"/>
        <v>#DIV/0!</v>
      </c>
      <c r="H93" s="43" t="e">
        <f>F93/#REF!</f>
        <v>#REF!</v>
      </c>
      <c r="I93" s="56"/>
      <c r="J93" s="47"/>
      <c r="K93" s="47"/>
      <c r="L93" s="47"/>
      <c r="M93" s="47"/>
      <c r="N93" s="47"/>
      <c r="O93" s="47"/>
      <c r="P93" s="47"/>
    </row>
    <row r="94" spans="1:16" ht="16.5" hidden="1" customHeight="1">
      <c r="A94" s="15"/>
      <c r="B94" s="27"/>
      <c r="C94" s="20"/>
      <c r="D94" s="21" t="s">
        <v>148</v>
      </c>
      <c r="E94" s="108">
        <v>0</v>
      </c>
      <c r="F94" s="50">
        <v>0</v>
      </c>
      <c r="G94" s="51" t="e">
        <f t="shared" si="2"/>
        <v>#DIV/0!</v>
      </c>
      <c r="H94" s="43" t="e">
        <f>F94/#REF!</f>
        <v>#REF!</v>
      </c>
      <c r="I94" s="56"/>
      <c r="J94" s="47"/>
      <c r="K94" s="47"/>
      <c r="L94" s="47"/>
      <c r="M94" s="47"/>
      <c r="N94" s="47"/>
      <c r="O94" s="47"/>
      <c r="P94" s="47"/>
    </row>
    <row r="95" spans="1:16" ht="15.75">
      <c r="A95" s="15"/>
      <c r="B95" s="27"/>
      <c r="C95" s="27">
        <f>'Zbiorczo-paragr'!C382</f>
        <v>4430</v>
      </c>
      <c r="D95" s="27" t="str">
        <f>'Zbiorczo-paragr'!D382</f>
        <v xml:space="preserve">Różne opłaty i składki                                  </v>
      </c>
      <c r="E95" s="108">
        <f>SUM(E96)</f>
        <v>540</v>
      </c>
      <c r="F95" s="50">
        <f>SUM(F96)</f>
        <v>0</v>
      </c>
      <c r="G95" s="51">
        <f t="shared" si="2"/>
        <v>0</v>
      </c>
      <c r="H95" s="43" t="e">
        <f>F95/#REF!</f>
        <v>#REF!</v>
      </c>
      <c r="I95" s="56"/>
      <c r="J95" s="47"/>
      <c r="K95" s="47"/>
      <c r="L95" s="47"/>
      <c r="M95" s="47"/>
      <c r="N95" s="47"/>
      <c r="O95" s="47"/>
      <c r="P95" s="47"/>
    </row>
    <row r="96" spans="1:16" ht="17.25" customHeight="1">
      <c r="A96" s="15"/>
      <c r="B96" s="27"/>
      <c r="C96" s="27"/>
      <c r="D96" s="27" t="s">
        <v>378</v>
      </c>
      <c r="E96" s="108">
        <v>540</v>
      </c>
      <c r="F96" s="50">
        <v>0</v>
      </c>
      <c r="G96" s="51">
        <f t="shared" si="2"/>
        <v>0</v>
      </c>
      <c r="H96" s="43" t="e">
        <f>F96/#REF!</f>
        <v>#REF!</v>
      </c>
      <c r="I96" s="56"/>
      <c r="J96" s="47"/>
      <c r="K96" s="47"/>
      <c r="L96" s="47"/>
      <c r="M96" s="47"/>
      <c r="N96" s="47"/>
      <c r="O96" s="47"/>
      <c r="P96" s="47"/>
    </row>
    <row r="97" spans="1:16" ht="49.5" customHeight="1">
      <c r="A97" s="15"/>
      <c r="B97" s="27"/>
      <c r="C97" s="27">
        <f>'Zbiorczo-paragr'!C386</f>
        <v>4440</v>
      </c>
      <c r="D97" s="27" t="s">
        <v>16</v>
      </c>
      <c r="E97" s="109">
        <v>59162</v>
      </c>
      <c r="F97" s="53">
        <v>32117</v>
      </c>
      <c r="G97" s="51">
        <f t="shared" si="2"/>
        <v>0.54286535276021775</v>
      </c>
      <c r="H97" s="43" t="e">
        <f>F97/#REF!</f>
        <v>#REF!</v>
      </c>
      <c r="I97" s="56"/>
      <c r="J97" s="47"/>
      <c r="K97" s="47"/>
      <c r="L97" s="47"/>
      <c r="M97" s="47"/>
      <c r="N97" s="47"/>
      <c r="O97" s="47"/>
      <c r="P97" s="47"/>
    </row>
    <row r="98" spans="1:16" ht="15" hidden="1" customHeight="1">
      <c r="A98" s="15"/>
      <c r="B98" s="27"/>
      <c r="C98" s="28">
        <v>4700</v>
      </c>
      <c r="D98" s="29" t="s">
        <v>243</v>
      </c>
      <c r="E98" s="109">
        <f>SUM(E99)</f>
        <v>0</v>
      </c>
      <c r="F98" s="53">
        <f>SUM(F99)</f>
        <v>0</v>
      </c>
      <c r="G98" s="51" t="e">
        <f t="shared" si="2"/>
        <v>#DIV/0!</v>
      </c>
      <c r="H98" s="43" t="e">
        <f>F98/#REF!</f>
        <v>#REF!</v>
      </c>
      <c r="I98" s="56"/>
      <c r="J98" s="47"/>
      <c r="K98" s="47"/>
      <c r="L98" s="47"/>
      <c r="M98" s="47"/>
      <c r="N98" s="47"/>
      <c r="O98" s="47"/>
      <c r="P98" s="47"/>
    </row>
    <row r="99" spans="1:16" ht="15.75" hidden="1">
      <c r="A99" s="15"/>
      <c r="B99" s="27"/>
      <c r="C99" s="28"/>
      <c r="D99" s="28" t="s">
        <v>286</v>
      </c>
      <c r="E99" s="109">
        <v>0</v>
      </c>
      <c r="F99" s="53">
        <v>0</v>
      </c>
      <c r="G99" s="51" t="e">
        <f t="shared" si="2"/>
        <v>#DIV/0!</v>
      </c>
      <c r="H99" s="43" t="e">
        <f>F99/#REF!</f>
        <v>#REF!</v>
      </c>
      <c r="I99" s="56"/>
      <c r="J99" s="47"/>
      <c r="K99" s="47"/>
      <c r="L99" s="47"/>
      <c r="M99" s="47"/>
      <c r="N99" s="47"/>
      <c r="O99" s="47"/>
      <c r="P99" s="47"/>
    </row>
    <row r="100" spans="1:16" ht="15.75" customHeight="1">
      <c r="A100" s="490" t="str">
        <f>'Zbiorczo-paragr'!A394:D394</f>
        <v>81010 Gimnazja : Razem</v>
      </c>
      <c r="B100" s="491"/>
      <c r="C100" s="491"/>
      <c r="D100" s="492"/>
      <c r="E100" s="110">
        <f>E62+E65+E68+E69+E70+E71+E73+E75+E77+E79+E83+E86+E87+E89+E91+E93+E95+E97+E98</f>
        <v>1649872</v>
      </c>
      <c r="F100" s="54">
        <f>F62+F65+F68+F69+F70+F71+F73+F75+F77+F79+F83+F86+F87+F89+F91+F93+F95+F97+F98</f>
        <v>749547</v>
      </c>
      <c r="G100" s="55">
        <f t="shared" si="2"/>
        <v>0.45430615223484005</v>
      </c>
      <c r="H100" s="43" t="e">
        <f>F100/#REF!</f>
        <v>#REF!</v>
      </c>
      <c r="I100" s="56"/>
      <c r="J100" s="47"/>
      <c r="K100" s="47"/>
      <c r="L100" s="47"/>
      <c r="M100" s="47"/>
      <c r="N100" s="47"/>
      <c r="O100" s="47"/>
      <c r="P100" s="47"/>
    </row>
    <row r="101" spans="1:16" ht="15.75">
      <c r="A101" s="15">
        <f>'Zbiorczo-paragr'!A439</f>
        <v>801</v>
      </c>
      <c r="B101" s="15">
        <f>'Zbiorczo-paragr'!B439</f>
        <v>80146</v>
      </c>
      <c r="C101" s="15">
        <f>'Zbiorczo-paragr'!C439</f>
        <v>3020</v>
      </c>
      <c r="D101" s="57" t="str">
        <f>'Zbiorczo-paragr'!D439</f>
        <v xml:space="preserve">Wydatki osobowe niezaliczone do wynagrodzeń  </v>
      </c>
      <c r="E101" s="108">
        <f>SUM(E102:E103)</f>
        <v>4350</v>
      </c>
      <c r="F101" s="50">
        <f>SUM(F102:F103)</f>
        <v>4000</v>
      </c>
      <c r="G101" s="51">
        <f t="shared" ref="G101:G106" si="3">SUM(F101/E101)</f>
        <v>0.91954022988505746</v>
      </c>
      <c r="H101" s="43" t="e">
        <f>F101/#REF!</f>
        <v>#REF!</v>
      </c>
      <c r="I101" s="56"/>
      <c r="J101" s="47"/>
      <c r="K101" s="47"/>
      <c r="L101" s="47"/>
      <c r="M101" s="47"/>
      <c r="N101" s="47"/>
      <c r="O101" s="47"/>
      <c r="P101" s="47"/>
    </row>
    <row r="102" spans="1:16" ht="30" customHeight="1">
      <c r="A102" s="15"/>
      <c r="B102" s="27"/>
      <c r="C102" s="27"/>
      <c r="D102" s="27" t="str">
        <f>'Zbiorczo-paragr'!D440</f>
        <v>opłaty za kształcenie pobierane przez szkoły wyższe i zakłady kształcenia nauczycieli - szkoła podstawowa</v>
      </c>
      <c r="E102" s="108">
        <v>4350</v>
      </c>
      <c r="F102" s="50">
        <f>6760-F113</f>
        <v>4000</v>
      </c>
      <c r="G102" s="51">
        <f t="shared" si="3"/>
        <v>0.91954022988505746</v>
      </c>
      <c r="H102" s="43" t="e">
        <f>F102/#REF!</f>
        <v>#REF!</v>
      </c>
      <c r="I102" s="56"/>
      <c r="J102" s="47"/>
      <c r="K102" s="47"/>
      <c r="L102" s="47"/>
      <c r="M102" s="47"/>
      <c r="N102" s="47"/>
      <c r="O102" s="47"/>
      <c r="P102" s="47"/>
    </row>
    <row r="103" spans="1:16" ht="29.25" customHeight="1">
      <c r="A103" s="15"/>
      <c r="B103" s="27"/>
      <c r="C103" s="27"/>
      <c r="D103" s="27" t="str">
        <f>'Zbiorczo-paragr'!D441</f>
        <v>opłaty za kształcenie pobierane przez szkoły wyższe i zakłady kształcenia nauczycieli - gimnazjum</v>
      </c>
      <c r="E103" s="108">
        <v>0</v>
      </c>
      <c r="F103" s="50">
        <v>0</v>
      </c>
      <c r="G103" s="51" t="e">
        <f t="shared" si="3"/>
        <v>#DIV/0!</v>
      </c>
      <c r="H103" s="43" t="e">
        <f>F103/#REF!</f>
        <v>#REF!</v>
      </c>
      <c r="I103" s="56"/>
      <c r="J103" s="47"/>
      <c r="K103" s="47"/>
      <c r="L103" s="47"/>
      <c r="M103" s="47"/>
      <c r="N103" s="47"/>
      <c r="O103" s="47"/>
      <c r="P103" s="47"/>
    </row>
    <row r="104" spans="1:16" ht="18" hidden="1" customHeight="1">
      <c r="A104" s="15"/>
      <c r="B104" s="27"/>
      <c r="C104" s="27">
        <v>4410</v>
      </c>
      <c r="D104" s="27" t="str">
        <f>'Zbiorczo-paragr'!D444</f>
        <v xml:space="preserve">Podróże służbowe krajowe                                </v>
      </c>
      <c r="E104" s="108">
        <f>SUM(E105:E106)</f>
        <v>0</v>
      </c>
      <c r="F104" s="50">
        <f>SUM(F105:F106)</f>
        <v>0</v>
      </c>
      <c r="G104" s="51" t="e">
        <f t="shared" si="3"/>
        <v>#DIV/0!</v>
      </c>
      <c r="H104" s="43" t="e">
        <f>F104/#REF!</f>
        <v>#REF!</v>
      </c>
      <c r="I104" s="56"/>
      <c r="J104" s="47"/>
      <c r="K104" s="47"/>
      <c r="L104" s="47"/>
      <c r="M104" s="47"/>
      <c r="N104" s="47"/>
      <c r="O104" s="47"/>
      <c r="P104" s="47"/>
    </row>
    <row r="105" spans="1:16" ht="18" hidden="1" customHeight="1">
      <c r="A105" s="15"/>
      <c r="B105" s="27"/>
      <c r="C105" s="27"/>
      <c r="D105" s="27" t="s">
        <v>250</v>
      </c>
      <c r="E105" s="108">
        <v>0</v>
      </c>
      <c r="F105" s="50">
        <v>0</v>
      </c>
      <c r="G105" s="51" t="e">
        <f t="shared" si="3"/>
        <v>#DIV/0!</v>
      </c>
      <c r="H105" s="43" t="e">
        <f>F105/#REF!</f>
        <v>#REF!</v>
      </c>
      <c r="I105" s="56"/>
      <c r="J105" s="47"/>
      <c r="K105" s="47"/>
      <c r="L105" s="47"/>
      <c r="M105" s="47"/>
      <c r="N105" s="47"/>
      <c r="O105" s="47"/>
      <c r="P105" s="47"/>
    </row>
    <row r="106" spans="1:16" ht="18" hidden="1" customHeight="1">
      <c r="A106" s="15"/>
      <c r="B106" s="27"/>
      <c r="C106" s="27"/>
      <c r="D106" s="27" t="s">
        <v>251</v>
      </c>
      <c r="E106" s="108">
        <v>0</v>
      </c>
      <c r="F106" s="50">
        <v>0</v>
      </c>
      <c r="G106" s="51" t="e">
        <f t="shared" si="3"/>
        <v>#DIV/0!</v>
      </c>
      <c r="H106" s="43" t="e">
        <f>F106/#REF!</f>
        <v>#REF!</v>
      </c>
      <c r="I106" s="56"/>
      <c r="J106" s="47"/>
      <c r="K106" s="47"/>
      <c r="L106" s="47"/>
      <c r="M106" s="47"/>
      <c r="N106" s="47"/>
      <c r="O106" s="47"/>
      <c r="P106" s="47"/>
    </row>
    <row r="107" spans="1:16" ht="21.75" customHeight="1">
      <c r="A107" s="15"/>
      <c r="B107" s="27"/>
      <c r="C107" s="28">
        <f>'Zbiorczo-paragr'!C449</f>
        <v>4700</v>
      </c>
      <c r="D107" s="28" t="str">
        <f>'Zbiorczo-paragr'!D449</f>
        <v>Szkolenie pracowników niebędących członkami korpusu służby cywilnej</v>
      </c>
      <c r="E107" s="108">
        <f>SUM(E108:E109)</f>
        <v>41857</v>
      </c>
      <c r="F107" s="50">
        <f>SUM(F108:F109)</f>
        <v>31646</v>
      </c>
      <c r="G107" s="51">
        <f t="shared" ref="G107:G173" si="4">SUM(F107/E107)</f>
        <v>0.75605036194662778</v>
      </c>
      <c r="H107" s="43" t="e">
        <f>F107/#REF!</f>
        <v>#REF!</v>
      </c>
      <c r="I107" s="56"/>
      <c r="J107" s="47"/>
      <c r="K107" s="47"/>
      <c r="L107" s="47"/>
      <c r="M107" s="47"/>
      <c r="N107" s="47"/>
      <c r="O107" s="47"/>
      <c r="P107" s="47"/>
    </row>
    <row r="108" spans="1:16" ht="19.5" customHeight="1">
      <c r="A108" s="15"/>
      <c r="B108" s="27"/>
      <c r="C108" s="27"/>
      <c r="D108" s="29" t="s">
        <v>177</v>
      </c>
      <c r="E108" s="108">
        <v>33491</v>
      </c>
      <c r="F108" s="50">
        <f>[3]Michałowice!$G$64+[3]Michałowice!$G$66+[3]Michałowice!$G$67-F102-F113-F129</f>
        <v>29640</v>
      </c>
      <c r="G108" s="51">
        <f t="shared" si="4"/>
        <v>0.88501388432713268</v>
      </c>
      <c r="H108" s="43" t="e">
        <f>F108/#REF!</f>
        <v>#REF!</v>
      </c>
      <c r="I108" s="56"/>
      <c r="J108" s="47"/>
      <c r="K108" s="47"/>
      <c r="L108" s="47"/>
      <c r="M108" s="47"/>
      <c r="N108" s="47"/>
      <c r="O108" s="47"/>
      <c r="P108" s="47"/>
    </row>
    <row r="109" spans="1:16" ht="19.5" customHeight="1">
      <c r="A109" s="15"/>
      <c r="B109" s="27"/>
      <c r="C109" s="27"/>
      <c r="D109" s="29" t="s">
        <v>230</v>
      </c>
      <c r="E109" s="108">
        <v>8366</v>
      </c>
      <c r="F109" s="50">
        <f>[3]Michałowice!$G$65-F103</f>
        <v>2006</v>
      </c>
      <c r="G109" s="51">
        <f t="shared" si="4"/>
        <v>0.23978006215634712</v>
      </c>
      <c r="H109" s="43" t="e">
        <f>F109/#REF!</f>
        <v>#REF!</v>
      </c>
      <c r="I109" s="56"/>
      <c r="J109" s="47"/>
      <c r="K109" s="47"/>
      <c r="L109" s="47"/>
      <c r="M109" s="47"/>
      <c r="N109" s="47"/>
      <c r="O109" s="47"/>
      <c r="P109" s="47"/>
    </row>
    <row r="110" spans="1:16" ht="15.75">
      <c r="A110" s="490" t="s">
        <v>233</v>
      </c>
      <c r="B110" s="491"/>
      <c r="C110" s="491"/>
      <c r="D110" s="492"/>
      <c r="E110" s="110">
        <f>SUM(E101+E104+E107)</f>
        <v>46207</v>
      </c>
      <c r="F110" s="54">
        <f>SUM(F101+F104+F107)</f>
        <v>35646</v>
      </c>
      <c r="G110" s="55">
        <f t="shared" si="4"/>
        <v>0.77144155647412727</v>
      </c>
      <c r="H110" s="43" t="e">
        <f>F110/#REF!</f>
        <v>#REF!</v>
      </c>
      <c r="I110" s="56"/>
      <c r="J110" s="47"/>
      <c r="K110" s="47"/>
      <c r="L110" s="47"/>
      <c r="M110" s="47"/>
      <c r="N110" s="47"/>
      <c r="O110" s="47"/>
      <c r="P110" s="47"/>
    </row>
    <row r="111" spans="1:16" ht="15.75">
      <c r="A111" s="495">
        <v>801</v>
      </c>
      <c r="B111" s="498">
        <v>80150</v>
      </c>
      <c r="C111" s="15">
        <v>3020</v>
      </c>
      <c r="D111" s="21" t="s">
        <v>359</v>
      </c>
      <c r="E111" s="82">
        <f>SUM(E112:E113)</f>
        <v>14910</v>
      </c>
      <c r="F111" s="82">
        <f>SUM(F112:F113)</f>
        <v>18260</v>
      </c>
      <c r="G111" s="19">
        <f t="shared" ref="G111:G135" si="5">SUM(F111/E111)</f>
        <v>1.2246814218645206</v>
      </c>
      <c r="H111" s="43"/>
      <c r="I111" s="56"/>
      <c r="J111" s="47"/>
      <c r="K111" s="47"/>
      <c r="L111" s="47"/>
      <c r="M111" s="47"/>
      <c r="N111" s="47"/>
      <c r="O111" s="47"/>
      <c r="P111" s="47"/>
    </row>
    <row r="112" spans="1:16" ht="15.75">
      <c r="A112" s="496"/>
      <c r="B112" s="498"/>
      <c r="C112" s="15"/>
      <c r="D112" s="21" t="s">
        <v>834</v>
      </c>
      <c r="E112" s="82">
        <v>14910</v>
      </c>
      <c r="F112" s="82">
        <v>15500</v>
      </c>
      <c r="G112" s="23">
        <f>SUM(F112/E112)</f>
        <v>1.039570757880617</v>
      </c>
      <c r="H112" s="43"/>
      <c r="I112" s="56"/>
      <c r="J112" s="47"/>
      <c r="K112" s="47"/>
      <c r="L112" s="47"/>
      <c r="M112" s="47"/>
      <c r="N112" s="47"/>
      <c r="O112" s="47"/>
      <c r="P112" s="47"/>
    </row>
    <row r="113" spans="1:16" ht="15.75">
      <c r="A113" s="497"/>
      <c r="B113" s="499"/>
      <c r="C113" s="15"/>
      <c r="D113" s="21" t="s">
        <v>833</v>
      </c>
      <c r="E113" s="82">
        <v>0</v>
      </c>
      <c r="F113" s="82">
        <v>2760</v>
      </c>
      <c r="G113" s="23" t="e">
        <f t="shared" si="5"/>
        <v>#DIV/0!</v>
      </c>
      <c r="H113" s="43"/>
      <c r="I113" s="56"/>
      <c r="J113" s="47"/>
      <c r="K113" s="47"/>
      <c r="L113" s="47"/>
      <c r="M113" s="47"/>
      <c r="N113" s="47"/>
      <c r="O113" s="47"/>
      <c r="P113" s="47"/>
    </row>
    <row r="114" spans="1:16" ht="15.75">
      <c r="A114" s="497"/>
      <c r="B114" s="499"/>
      <c r="C114" s="15">
        <v>4010</v>
      </c>
      <c r="D114" s="21" t="s">
        <v>348</v>
      </c>
      <c r="E114" s="82">
        <f>E115</f>
        <v>142990</v>
      </c>
      <c r="F114" s="82">
        <f>F115</f>
        <v>172000</v>
      </c>
      <c r="G114" s="23">
        <f t="shared" si="5"/>
        <v>1.2028813203720541</v>
      </c>
      <c r="H114" s="43"/>
      <c r="I114" s="56"/>
      <c r="J114" s="47"/>
      <c r="K114" s="47"/>
      <c r="L114" s="47"/>
      <c r="M114" s="47"/>
      <c r="N114" s="47"/>
      <c r="O114" s="47"/>
      <c r="P114" s="47"/>
    </row>
    <row r="115" spans="1:16" ht="15.75">
      <c r="A115" s="497"/>
      <c r="B115" s="499"/>
      <c r="C115" s="15"/>
      <c r="D115" s="21" t="s">
        <v>835</v>
      </c>
      <c r="E115" s="82">
        <v>142990</v>
      </c>
      <c r="F115" s="82">
        <v>172000</v>
      </c>
      <c r="G115" s="23">
        <f t="shared" si="5"/>
        <v>1.2028813203720541</v>
      </c>
      <c r="H115" s="43"/>
      <c r="I115" s="56"/>
      <c r="J115" s="47"/>
      <c r="K115" s="47"/>
      <c r="L115" s="47"/>
      <c r="M115" s="47"/>
      <c r="N115" s="47"/>
      <c r="O115" s="47"/>
      <c r="P115" s="47"/>
    </row>
    <row r="116" spans="1:16" ht="15.75">
      <c r="A116" s="497"/>
      <c r="B116" s="499"/>
      <c r="C116" s="20">
        <v>4110</v>
      </c>
      <c r="D116" s="21" t="s">
        <v>446</v>
      </c>
      <c r="E116" s="82">
        <f>E117</f>
        <v>27645</v>
      </c>
      <c r="F116" s="82">
        <f>F117</f>
        <v>32500</v>
      </c>
      <c r="G116" s="23">
        <f t="shared" si="5"/>
        <v>1.1756194610236932</v>
      </c>
      <c r="H116" s="43"/>
      <c r="I116" s="56"/>
      <c r="J116" s="47"/>
      <c r="K116" s="47"/>
      <c r="L116" s="47"/>
      <c r="M116" s="47"/>
      <c r="N116" s="47"/>
      <c r="O116" s="47"/>
      <c r="P116" s="47"/>
    </row>
    <row r="117" spans="1:16" ht="15.75">
      <c r="A117" s="497"/>
      <c r="B117" s="499"/>
      <c r="C117" s="15"/>
      <c r="D117" s="21" t="s">
        <v>836</v>
      </c>
      <c r="E117" s="82">
        <v>27645</v>
      </c>
      <c r="F117" s="82">
        <v>32500</v>
      </c>
      <c r="G117" s="23">
        <f t="shared" si="5"/>
        <v>1.1756194610236932</v>
      </c>
      <c r="H117" s="43"/>
      <c r="I117" s="56"/>
      <c r="J117" s="47"/>
      <c r="K117" s="47"/>
      <c r="L117" s="47"/>
      <c r="M117" s="47"/>
      <c r="N117" s="47"/>
      <c r="O117" s="47"/>
      <c r="P117" s="47"/>
    </row>
    <row r="118" spans="1:16" ht="15.75">
      <c r="A118" s="497"/>
      <c r="B118" s="499"/>
      <c r="C118" s="20">
        <v>4120</v>
      </c>
      <c r="D118" s="21" t="s">
        <v>301</v>
      </c>
      <c r="E118" s="82">
        <f>E119</f>
        <v>3225</v>
      </c>
      <c r="F118" s="82">
        <f>F119</f>
        <v>4600</v>
      </c>
      <c r="G118" s="23">
        <f t="shared" si="5"/>
        <v>1.4263565891472869</v>
      </c>
      <c r="H118" s="43"/>
      <c r="I118" s="56"/>
      <c r="J118" s="47"/>
      <c r="K118" s="47"/>
      <c r="L118" s="47"/>
      <c r="M118" s="47"/>
      <c r="N118" s="47"/>
      <c r="O118" s="47"/>
      <c r="P118" s="47"/>
    </row>
    <row r="119" spans="1:16" ht="15.75">
      <c r="A119" s="497"/>
      <c r="B119" s="499"/>
      <c r="C119" s="15"/>
      <c r="D119" s="21" t="s">
        <v>837</v>
      </c>
      <c r="E119" s="82">
        <v>3225</v>
      </c>
      <c r="F119" s="82">
        <v>4600</v>
      </c>
      <c r="G119" s="23">
        <f t="shared" si="5"/>
        <v>1.4263565891472869</v>
      </c>
      <c r="H119" s="43"/>
      <c r="I119" s="56"/>
      <c r="J119" s="47"/>
      <c r="K119" s="47"/>
      <c r="L119" s="47"/>
      <c r="M119" s="47"/>
      <c r="N119" s="47"/>
      <c r="O119" s="47"/>
      <c r="P119" s="47"/>
    </row>
    <row r="120" spans="1:16" ht="15.75">
      <c r="A120" s="497"/>
      <c r="B120" s="499"/>
      <c r="C120" s="20">
        <v>4210</v>
      </c>
      <c r="D120" s="21" t="s">
        <v>274</v>
      </c>
      <c r="E120" s="82">
        <f>SUM(E121:E121)</f>
        <v>1400</v>
      </c>
      <c r="F120" s="82">
        <f>SUM(F121:F121)</f>
        <v>0</v>
      </c>
      <c r="G120" s="23">
        <f t="shared" si="5"/>
        <v>0</v>
      </c>
      <c r="H120" s="43"/>
      <c r="I120" s="56"/>
      <c r="J120" s="47"/>
      <c r="K120" s="47"/>
      <c r="L120" s="47"/>
      <c r="M120" s="47"/>
      <c r="N120" s="47"/>
      <c r="O120" s="47"/>
      <c r="P120" s="47"/>
    </row>
    <row r="121" spans="1:16" ht="15.75">
      <c r="A121" s="497"/>
      <c r="B121" s="499"/>
      <c r="C121" s="15"/>
      <c r="D121" s="21" t="s">
        <v>838</v>
      </c>
      <c r="E121" s="82">
        <v>1400</v>
      </c>
      <c r="F121" s="82"/>
      <c r="G121" s="23">
        <f t="shared" si="5"/>
        <v>0</v>
      </c>
      <c r="H121" s="43"/>
      <c r="I121" s="56"/>
      <c r="J121" s="47"/>
      <c r="K121" s="47"/>
      <c r="L121" s="47"/>
      <c r="M121" s="47"/>
      <c r="N121" s="47"/>
      <c r="O121" s="47"/>
      <c r="P121" s="47"/>
    </row>
    <row r="122" spans="1:16" ht="15.75">
      <c r="A122" s="497"/>
      <c r="B122" s="499"/>
      <c r="C122" s="20">
        <v>4240</v>
      </c>
      <c r="D122" s="21" t="s">
        <v>179</v>
      </c>
      <c r="E122" s="82">
        <f>SUM(E123:E125)</f>
        <v>2240</v>
      </c>
      <c r="F122" s="82">
        <f>SUM(F123:F125)</f>
        <v>0</v>
      </c>
      <c r="G122" s="23">
        <f t="shared" si="5"/>
        <v>0</v>
      </c>
      <c r="H122" s="43"/>
      <c r="I122" s="56"/>
      <c r="J122" s="47"/>
      <c r="K122" s="47"/>
      <c r="L122" s="47"/>
      <c r="M122" s="47"/>
      <c r="N122" s="47"/>
      <c r="O122" s="47"/>
      <c r="P122" s="47"/>
    </row>
    <row r="123" spans="1:16" ht="15.75" hidden="1">
      <c r="A123" s="497"/>
      <c r="B123" s="499"/>
      <c r="C123" s="15"/>
      <c r="D123" s="21" t="s">
        <v>293</v>
      </c>
      <c r="E123" s="82">
        <v>0</v>
      </c>
      <c r="F123" s="82">
        <v>0</v>
      </c>
      <c r="G123" s="23" t="e">
        <f t="shared" si="5"/>
        <v>#DIV/0!</v>
      </c>
      <c r="H123" s="43"/>
      <c r="I123" s="56"/>
      <c r="J123" s="47"/>
      <c r="K123" s="47"/>
      <c r="L123" s="47"/>
      <c r="M123" s="47"/>
      <c r="N123" s="47"/>
      <c r="O123" s="47"/>
      <c r="P123" s="47"/>
    </row>
    <row r="124" spans="1:16" ht="15.75">
      <c r="A124" s="497"/>
      <c r="B124" s="500"/>
      <c r="C124" s="93"/>
      <c r="D124" s="117" t="s">
        <v>839</v>
      </c>
      <c r="E124" s="82">
        <v>2240</v>
      </c>
      <c r="F124" s="82">
        <v>0</v>
      </c>
      <c r="G124" s="23"/>
      <c r="H124" s="43"/>
      <c r="I124" s="56"/>
      <c r="J124" s="47"/>
      <c r="K124" s="47"/>
      <c r="L124" s="47"/>
      <c r="M124" s="47"/>
      <c r="N124" s="47"/>
      <c r="O124" s="47"/>
      <c r="P124" s="47"/>
    </row>
    <row r="125" spans="1:16" ht="15.75">
      <c r="A125" s="497"/>
      <c r="B125" s="500"/>
      <c r="C125" s="68"/>
      <c r="D125" s="117" t="s">
        <v>840</v>
      </c>
      <c r="E125" s="82">
        <v>0</v>
      </c>
      <c r="F125" s="82">
        <v>0</v>
      </c>
      <c r="G125" s="23" t="e">
        <f t="shared" si="5"/>
        <v>#DIV/0!</v>
      </c>
      <c r="H125" s="43"/>
      <c r="I125" s="56"/>
      <c r="J125" s="47"/>
      <c r="K125" s="47"/>
      <c r="L125" s="47"/>
      <c r="M125" s="47"/>
      <c r="N125" s="47"/>
      <c r="O125" s="47"/>
      <c r="P125" s="47"/>
    </row>
    <row r="126" spans="1:16" ht="15.75">
      <c r="A126" s="450"/>
      <c r="B126" s="451"/>
      <c r="C126" s="20">
        <v>4300</v>
      </c>
      <c r="D126" s="21" t="str">
        <f>'Zbiorczo-paragr'!D500</f>
        <v xml:space="preserve">Zakup usług remontowych                                 </v>
      </c>
      <c r="E126" s="82">
        <f>E127</f>
        <v>12960</v>
      </c>
      <c r="F126" s="82">
        <f>F127</f>
        <v>14000</v>
      </c>
      <c r="G126" s="23">
        <f>SUM(F126/E126)</f>
        <v>1.0802469135802468</v>
      </c>
      <c r="H126" s="43"/>
      <c r="I126" s="56"/>
      <c r="J126" s="47"/>
      <c r="K126" s="47"/>
      <c r="L126" s="47"/>
      <c r="M126" s="47"/>
      <c r="N126" s="47"/>
      <c r="O126" s="47"/>
      <c r="P126" s="47"/>
    </row>
    <row r="127" spans="1:16" ht="15.75">
      <c r="A127" s="450"/>
      <c r="B127" s="451"/>
      <c r="C127" s="20"/>
      <c r="D127" s="21" t="s">
        <v>841</v>
      </c>
      <c r="E127" s="82">
        <v>12960</v>
      </c>
      <c r="F127" s="82">
        <v>14000</v>
      </c>
      <c r="G127" s="23">
        <f>SUM(F127/E127)</f>
        <v>1.0802469135802468</v>
      </c>
      <c r="H127" s="43"/>
      <c r="I127" s="56"/>
      <c r="J127" s="47"/>
      <c r="K127" s="47"/>
      <c r="L127" s="47"/>
      <c r="M127" s="47"/>
      <c r="N127" s="47"/>
      <c r="O127" s="47"/>
      <c r="P127" s="47"/>
    </row>
    <row r="128" spans="1:16" ht="15.75">
      <c r="A128" s="116"/>
      <c r="B128" s="116"/>
      <c r="C128" s="20">
        <v>4700</v>
      </c>
      <c r="D128" s="29" t="s">
        <v>243</v>
      </c>
      <c r="E128" s="82">
        <f>E129</f>
        <v>960</v>
      </c>
      <c r="F128" s="82">
        <f>F129</f>
        <v>3000</v>
      </c>
      <c r="G128" s="23">
        <f t="shared" si="5"/>
        <v>3.125</v>
      </c>
      <c r="H128" s="43"/>
      <c r="I128" s="56"/>
      <c r="J128" s="47"/>
      <c r="K128" s="47"/>
      <c r="L128" s="47"/>
      <c r="M128" s="47"/>
      <c r="N128" s="47"/>
      <c r="O128" s="47"/>
      <c r="P128" s="47"/>
    </row>
    <row r="129" spans="1:16" ht="15.75">
      <c r="A129" s="116"/>
      <c r="B129" s="116"/>
      <c r="C129" s="20"/>
      <c r="D129" s="21" t="s">
        <v>855</v>
      </c>
      <c r="E129" s="82">
        <v>960</v>
      </c>
      <c r="F129" s="82">
        <v>3000</v>
      </c>
      <c r="G129" s="23">
        <f t="shared" si="5"/>
        <v>3.125</v>
      </c>
      <c r="H129" s="43"/>
      <c r="I129" s="56"/>
      <c r="J129" s="47"/>
      <c r="K129" s="47"/>
      <c r="L129" s="47"/>
      <c r="M129" s="47"/>
      <c r="N129" s="47"/>
      <c r="O129" s="47"/>
      <c r="P129" s="47"/>
    </row>
    <row r="130" spans="1:16" ht="27" customHeight="1">
      <c r="A130" s="501" t="s">
        <v>663</v>
      </c>
      <c r="B130" s="502"/>
      <c r="C130" s="503"/>
      <c r="D130" s="504"/>
      <c r="E130" s="84">
        <f>SUM(E111+E114+E116+E118+E120+E122+E126+E128)</f>
        <v>206330</v>
      </c>
      <c r="F130" s="84">
        <f>SUM(F111+F114+F116+F118+F120+F122+F126+F128)</f>
        <v>244360</v>
      </c>
      <c r="G130" s="26">
        <f t="shared" si="5"/>
        <v>1.1843163863713468</v>
      </c>
      <c r="H130" s="43"/>
      <c r="I130" s="56"/>
      <c r="J130" s="56"/>
      <c r="K130" s="47"/>
      <c r="L130" s="47"/>
      <c r="M130" s="47"/>
      <c r="N130" s="47"/>
      <c r="O130" s="47"/>
      <c r="P130" s="47"/>
    </row>
    <row r="131" spans="1:16" ht="19.5" customHeight="1">
      <c r="A131" s="495">
        <v>801</v>
      </c>
      <c r="B131" s="495">
        <v>80153</v>
      </c>
      <c r="C131" s="495">
        <v>4240</v>
      </c>
      <c r="D131" s="35" t="str">
        <f>'Zbiorczo-paragr'!D526</f>
        <v xml:space="preserve">Zakup pomocy naukowych, dydaktycznych i książek         </v>
      </c>
      <c r="E131" s="82">
        <f>SUM(E132:E134)</f>
        <v>98306.31</v>
      </c>
      <c r="F131" s="82">
        <f>SUM(F132:F134)</f>
        <v>0</v>
      </c>
      <c r="G131" s="23">
        <f t="shared" si="5"/>
        <v>0</v>
      </c>
      <c r="H131" s="43"/>
      <c r="I131" s="56"/>
      <c r="J131" s="56"/>
      <c r="K131" s="47"/>
      <c r="L131" s="47"/>
      <c r="M131" s="47"/>
      <c r="N131" s="47"/>
      <c r="O131" s="47"/>
      <c r="P131" s="47"/>
    </row>
    <row r="132" spans="1:16" ht="19.5" customHeight="1">
      <c r="A132" s="496"/>
      <c r="B132" s="496"/>
      <c r="C132" s="496"/>
      <c r="D132" s="35" t="s">
        <v>707</v>
      </c>
      <c r="E132" s="82">
        <v>96138.9</v>
      </c>
      <c r="F132" s="82"/>
      <c r="G132" s="23">
        <f t="shared" si="5"/>
        <v>0</v>
      </c>
      <c r="H132" s="43"/>
      <c r="I132" s="56"/>
      <c r="J132" s="56"/>
      <c r="K132" s="47"/>
      <c r="L132" s="47"/>
      <c r="M132" s="47"/>
      <c r="N132" s="47"/>
      <c r="O132" s="47"/>
      <c r="P132" s="47"/>
    </row>
    <row r="133" spans="1:16" ht="19.5" customHeight="1">
      <c r="A133" s="496"/>
      <c r="B133" s="496"/>
      <c r="C133" s="496"/>
      <c r="D133" s="35" t="s">
        <v>708</v>
      </c>
      <c r="E133" s="82">
        <v>1856.25</v>
      </c>
      <c r="F133" s="82"/>
      <c r="G133" s="23">
        <f>SUM(F133/E133)</f>
        <v>0</v>
      </c>
      <c r="H133" s="43"/>
      <c r="I133" s="56"/>
      <c r="J133" s="56"/>
      <c r="K133" s="47"/>
      <c r="L133" s="47"/>
      <c r="M133" s="47"/>
      <c r="N133" s="47"/>
      <c r="O133" s="47"/>
      <c r="P133" s="47"/>
    </row>
    <row r="134" spans="1:16" ht="21" customHeight="1">
      <c r="A134" s="528"/>
      <c r="B134" s="528"/>
      <c r="C134" s="528"/>
      <c r="D134" s="35" t="s">
        <v>709</v>
      </c>
      <c r="E134" s="82">
        <v>311.16000000000003</v>
      </c>
      <c r="F134" s="82"/>
      <c r="G134" s="23">
        <f t="shared" si="5"/>
        <v>0</v>
      </c>
      <c r="H134" s="43"/>
      <c r="I134" s="56"/>
      <c r="J134" s="56"/>
      <c r="K134" s="47"/>
      <c r="L134" s="47"/>
      <c r="M134" s="47"/>
      <c r="N134" s="47"/>
      <c r="O134" s="47"/>
      <c r="P134" s="47"/>
    </row>
    <row r="135" spans="1:16" ht="33.75" customHeight="1">
      <c r="A135" s="512" t="str">
        <f>'Zbiorczo-paragr'!A536:D536</f>
        <v>80153 Zapewnienie uczniom prawa do bezpłatnego dostępu do podręcznikó, materiałów edukacyjnych lub materiałów ćwiczeniowych : Razem</v>
      </c>
      <c r="B135" s="513"/>
      <c r="C135" s="513"/>
      <c r="D135" s="514"/>
      <c r="E135" s="82">
        <f>E131</f>
        <v>98306.31</v>
      </c>
      <c r="F135" s="82">
        <f>F131</f>
        <v>0</v>
      </c>
      <c r="G135" s="26">
        <f t="shared" si="5"/>
        <v>0</v>
      </c>
      <c r="H135" s="43"/>
      <c r="I135" s="56"/>
      <c r="J135" s="56"/>
      <c r="K135" s="47"/>
      <c r="L135" s="47"/>
      <c r="M135" s="47"/>
      <c r="N135" s="47"/>
      <c r="O135" s="47"/>
      <c r="P135" s="47"/>
    </row>
    <row r="136" spans="1:16" ht="18.75" customHeight="1">
      <c r="A136" s="512" t="str">
        <f>'Zbiorczo-paragr'!A549:D549</f>
        <v xml:space="preserve">801 Oświata i wychowanie - Razem                                    </v>
      </c>
      <c r="B136" s="513"/>
      <c r="C136" s="513"/>
      <c r="D136" s="514"/>
      <c r="E136" s="111">
        <f>E43+E61+E100+E110+E130+E135</f>
        <v>8787894.3100000005</v>
      </c>
      <c r="F136" s="59">
        <f>F43+F61+F100+F110+F130</f>
        <v>9324631</v>
      </c>
      <c r="G136" s="51">
        <f t="shared" si="4"/>
        <v>1.061076825809026</v>
      </c>
      <c r="H136" s="43" t="e">
        <f>F136/#REF!</f>
        <v>#REF!</v>
      </c>
      <c r="I136" s="56"/>
      <c r="J136" s="47"/>
      <c r="K136" s="47"/>
      <c r="L136" s="47"/>
      <c r="M136" s="47"/>
      <c r="N136" s="47"/>
      <c r="O136" s="47"/>
      <c r="P136" s="47"/>
    </row>
    <row r="137" spans="1:16" ht="18.75" customHeight="1">
      <c r="A137" s="15">
        <f>'Zbiorczo-paragr'!A554</f>
        <v>854</v>
      </c>
      <c r="B137" s="15">
        <f>'Zbiorczo-paragr'!B554</f>
        <v>85401</v>
      </c>
      <c r="C137" s="15">
        <f>'Zbiorczo-paragr'!C554</f>
        <v>3020</v>
      </c>
      <c r="D137" s="57" t="str">
        <f>'Zbiorczo-paragr'!D554</f>
        <v xml:space="preserve">Nagrody i wydatki osobowe niezaliczone do wynagrodzeń  </v>
      </c>
      <c r="E137" s="108">
        <f>SUM(E138:E138)</f>
        <v>51000</v>
      </c>
      <c r="F137" s="108">
        <f>SUM(F138:F138)</f>
        <v>45000</v>
      </c>
      <c r="G137" s="51">
        <f t="shared" si="4"/>
        <v>0.88235294117647056</v>
      </c>
      <c r="H137" s="43" t="e">
        <f>F137/#REF!</f>
        <v>#REF!</v>
      </c>
      <c r="I137" s="56"/>
      <c r="J137" s="47"/>
      <c r="K137" s="47"/>
      <c r="L137" s="47"/>
      <c r="M137" s="47"/>
      <c r="N137" s="47"/>
      <c r="O137" s="47"/>
      <c r="P137" s="47"/>
    </row>
    <row r="138" spans="1:16" ht="16.149999999999999" customHeight="1">
      <c r="A138" s="15"/>
      <c r="B138" s="27"/>
      <c r="C138" s="27"/>
      <c r="D138" s="29" t="s">
        <v>780</v>
      </c>
      <c r="E138" s="108">
        <v>51000</v>
      </c>
      <c r="F138" s="50">
        <v>45000</v>
      </c>
      <c r="G138" s="51">
        <f t="shared" si="4"/>
        <v>0.88235294117647056</v>
      </c>
      <c r="H138" s="43" t="e">
        <f>F138/#REF!</f>
        <v>#REF!</v>
      </c>
      <c r="I138" s="56"/>
      <c r="J138" s="47"/>
      <c r="K138" s="47"/>
      <c r="L138" s="47"/>
      <c r="M138" s="47"/>
      <c r="N138" s="47"/>
      <c r="O138" s="47"/>
      <c r="P138" s="47"/>
    </row>
    <row r="139" spans="1:16" ht="16.5" customHeight="1">
      <c r="A139" s="15"/>
      <c r="B139" s="27"/>
      <c r="C139" s="27">
        <f>'Zbiorczo-paragr'!C558</f>
        <v>4010</v>
      </c>
      <c r="D139" s="27" t="str">
        <f>'Zbiorczo-paragr'!D558</f>
        <v xml:space="preserve">Wynagrodzenia osobowe pracowników                       </v>
      </c>
      <c r="E139" s="108">
        <f>SUM(E140:E141)</f>
        <v>474510</v>
      </c>
      <c r="F139" s="50">
        <f>SUM(F140:F141)</f>
        <v>580000</v>
      </c>
      <c r="G139" s="51">
        <f t="shared" si="4"/>
        <v>1.2223135444985354</v>
      </c>
      <c r="H139" s="43" t="e">
        <f>F139/#REF!</f>
        <v>#REF!</v>
      </c>
      <c r="I139" s="56"/>
      <c r="J139" s="47"/>
      <c r="K139" s="47"/>
      <c r="L139" s="47"/>
      <c r="M139" s="47"/>
      <c r="N139" s="47"/>
      <c r="O139" s="47"/>
      <c r="P139" s="47"/>
    </row>
    <row r="140" spans="1:16" ht="29.25" customHeight="1">
      <c r="A140" s="15"/>
      <c r="B140" s="27"/>
      <c r="C140" s="27"/>
      <c r="D140" s="60" t="s">
        <v>263</v>
      </c>
      <c r="E140" s="108">
        <v>474510</v>
      </c>
      <c r="F140" s="50">
        <f>580000-F141</f>
        <v>566500</v>
      </c>
      <c r="G140" s="51">
        <f t="shared" si="4"/>
        <v>1.193863143031759</v>
      </c>
      <c r="H140" s="43" t="e">
        <f>F140/#REF!</f>
        <v>#REF!</v>
      </c>
      <c r="I140" s="56"/>
      <c r="J140" s="47"/>
      <c r="K140" s="47"/>
      <c r="L140" s="47"/>
      <c r="M140" s="47"/>
      <c r="N140" s="47"/>
      <c r="O140" s="47"/>
      <c r="P140" s="47"/>
    </row>
    <row r="141" spans="1:16" ht="18" customHeight="1">
      <c r="A141" s="15"/>
      <c r="B141" s="27"/>
      <c r="C141" s="27"/>
      <c r="D141" s="60" t="s">
        <v>813</v>
      </c>
      <c r="E141" s="108">
        <v>0</v>
      </c>
      <c r="F141" s="50">
        <v>13500</v>
      </c>
      <c r="G141" s="51" t="e">
        <f t="shared" si="4"/>
        <v>#DIV/0!</v>
      </c>
      <c r="H141" s="43"/>
      <c r="I141" s="56"/>
      <c r="J141" s="47"/>
      <c r="K141" s="47"/>
      <c r="L141" s="47"/>
      <c r="M141" s="47"/>
      <c r="N141" s="47"/>
      <c r="O141" s="47"/>
      <c r="P141" s="47"/>
    </row>
    <row r="142" spans="1:16" ht="35.25" customHeight="1">
      <c r="A142" s="15"/>
      <c r="B142" s="27"/>
      <c r="C142" s="27">
        <f>'Zbiorczo-paragr'!C564</f>
        <v>4040</v>
      </c>
      <c r="D142" s="27" t="s">
        <v>227</v>
      </c>
      <c r="E142" s="108">
        <v>31400</v>
      </c>
      <c r="F142" s="50">
        <v>39000</v>
      </c>
      <c r="G142" s="51">
        <f t="shared" si="4"/>
        <v>1.2420382165605095</v>
      </c>
      <c r="H142" s="43" t="e">
        <f>F142/#REF!</f>
        <v>#REF!</v>
      </c>
      <c r="I142" s="56"/>
      <c r="J142" s="47"/>
      <c r="K142" s="47"/>
      <c r="L142" s="47"/>
      <c r="M142" s="47"/>
      <c r="N142" s="47"/>
      <c r="O142" s="47"/>
      <c r="P142" s="47"/>
    </row>
    <row r="143" spans="1:16" ht="15.75">
      <c r="A143" s="15"/>
      <c r="B143" s="27"/>
      <c r="C143" s="27">
        <f>'Zbiorczo-paragr'!C568</f>
        <v>4110</v>
      </c>
      <c r="D143" s="27" t="str">
        <f>'Zbiorczo-paragr'!D568</f>
        <v xml:space="preserve">Składki na ubezpieczenia społeczne                      </v>
      </c>
      <c r="E143" s="109">
        <v>101220</v>
      </c>
      <c r="F143" s="53">
        <v>118000</v>
      </c>
      <c r="G143" s="51">
        <f t="shared" si="4"/>
        <v>1.1657775143252322</v>
      </c>
      <c r="H143" s="43" t="e">
        <f>F143/#REF!</f>
        <v>#REF!</v>
      </c>
      <c r="I143" s="56"/>
      <c r="J143" s="47"/>
      <c r="K143" s="47"/>
      <c r="L143" s="47"/>
      <c r="M143" s="47"/>
      <c r="N143" s="47"/>
      <c r="O143" s="47"/>
      <c r="P143" s="47"/>
    </row>
    <row r="144" spans="1:16" ht="15.75">
      <c r="A144" s="15"/>
      <c r="B144" s="27"/>
      <c r="C144" s="27">
        <f>'Zbiorczo-paragr'!C572</f>
        <v>4120</v>
      </c>
      <c r="D144" s="27" t="str">
        <f>'Zbiorczo-paragr'!D572</f>
        <v xml:space="preserve">Składki na Fundusz Pracy                                </v>
      </c>
      <c r="E144" s="109">
        <v>12380</v>
      </c>
      <c r="F144" s="53">
        <v>14500</v>
      </c>
      <c r="G144" s="51">
        <f t="shared" si="4"/>
        <v>1.1712439418416802</v>
      </c>
      <c r="H144" s="43" t="e">
        <f>F144/#REF!</f>
        <v>#REF!</v>
      </c>
      <c r="I144" s="56"/>
      <c r="J144" s="47"/>
      <c r="K144" s="47"/>
      <c r="L144" s="47"/>
      <c r="M144" s="47"/>
      <c r="N144" s="47"/>
      <c r="O144" s="47"/>
      <c r="P144" s="47"/>
    </row>
    <row r="145" spans="1:16" ht="15.75">
      <c r="A145" s="15"/>
      <c r="B145" s="27"/>
      <c r="C145" s="27">
        <f>'Zbiorczo-paragr'!C576</f>
        <v>4210</v>
      </c>
      <c r="D145" s="27" t="str">
        <f>'Zbiorczo-paragr'!D576</f>
        <v xml:space="preserve">Zakup materiałów i wyposażenia                          </v>
      </c>
      <c r="E145" s="109">
        <f>SUM(E146)</f>
        <v>2000</v>
      </c>
      <c r="F145" s="53">
        <f>SUM(F146)</f>
        <v>2000</v>
      </c>
      <c r="G145" s="51">
        <f t="shared" si="4"/>
        <v>1</v>
      </c>
      <c r="H145" s="43" t="e">
        <f>F145/#REF!</f>
        <v>#REF!</v>
      </c>
      <c r="I145" s="56"/>
      <c r="J145" s="47"/>
      <c r="K145" s="47"/>
      <c r="L145" s="47"/>
      <c r="M145" s="47"/>
      <c r="N145" s="47"/>
      <c r="O145" s="47"/>
      <c r="P145" s="47"/>
    </row>
    <row r="146" spans="1:16" ht="19.5" customHeight="1">
      <c r="A146" s="15"/>
      <c r="B146" s="27"/>
      <c r="C146" s="27"/>
      <c r="D146" s="21" t="s">
        <v>3</v>
      </c>
      <c r="E146" s="109">
        <v>2000</v>
      </c>
      <c r="F146" s="53">
        <v>2000</v>
      </c>
      <c r="G146" s="51">
        <f t="shared" si="4"/>
        <v>1</v>
      </c>
      <c r="H146" s="43" t="e">
        <f>F146/#REF!</f>
        <v>#REF!</v>
      </c>
      <c r="I146" s="56">
        <v>1000</v>
      </c>
      <c r="K146" s="47"/>
      <c r="L146" s="47"/>
      <c r="M146" s="47"/>
      <c r="N146" s="47"/>
      <c r="O146" s="47"/>
      <c r="P146" s="47"/>
    </row>
    <row r="147" spans="1:16" ht="19.5" customHeight="1">
      <c r="A147" s="15"/>
      <c r="B147" s="27"/>
      <c r="C147" s="27">
        <v>4220</v>
      </c>
      <c r="D147" s="21" t="s">
        <v>492</v>
      </c>
      <c r="E147" s="109">
        <v>2000</v>
      </c>
      <c r="F147" s="53">
        <v>2000</v>
      </c>
      <c r="G147" s="51">
        <f t="shared" si="4"/>
        <v>1</v>
      </c>
      <c r="H147" s="43"/>
      <c r="I147" s="56"/>
      <c r="K147" s="47"/>
      <c r="L147" s="47"/>
      <c r="M147" s="47"/>
      <c r="N147" s="47"/>
      <c r="O147" s="47"/>
      <c r="P147" s="47"/>
    </row>
    <row r="148" spans="1:16" ht="18" customHeight="1">
      <c r="A148" s="15"/>
      <c r="B148" s="27"/>
      <c r="C148" s="27">
        <f>'Zbiorczo-paragr'!C582</f>
        <v>4240</v>
      </c>
      <c r="D148" s="27" t="str">
        <f>'Zbiorczo-paragr'!D582</f>
        <v xml:space="preserve">Zakup pomocy naukowych, dydaktycznych i książek         </v>
      </c>
      <c r="E148" s="109">
        <v>4100</v>
      </c>
      <c r="F148" s="53">
        <v>4100</v>
      </c>
      <c r="G148" s="51">
        <f t="shared" si="4"/>
        <v>1</v>
      </c>
      <c r="H148" s="43" t="e">
        <f>F148/#REF!</f>
        <v>#REF!</v>
      </c>
      <c r="I148" s="56">
        <v>1500</v>
      </c>
      <c r="K148" s="47"/>
      <c r="L148" s="47"/>
      <c r="M148" s="47"/>
      <c r="N148" s="47"/>
      <c r="O148" s="47"/>
      <c r="P148" s="47"/>
    </row>
    <row r="149" spans="1:16" ht="18.75" hidden="1" customHeight="1">
      <c r="A149" s="15"/>
      <c r="B149" s="27"/>
      <c r="C149" s="27">
        <f>'Zbiorczo-paragr'!C586</f>
        <v>4300</v>
      </c>
      <c r="D149" s="27" t="str">
        <f>'Zbiorczo-paragr'!D586</f>
        <v xml:space="preserve">Zakup usług pozostałych                                 </v>
      </c>
      <c r="E149" s="109">
        <f>E150</f>
        <v>0</v>
      </c>
      <c r="F149" s="53">
        <f>F150</f>
        <v>0</v>
      </c>
      <c r="G149" s="51" t="e">
        <f t="shared" si="4"/>
        <v>#DIV/0!</v>
      </c>
      <c r="H149" s="43" t="e">
        <f>F149/#REF!</f>
        <v>#REF!</v>
      </c>
      <c r="I149" s="56"/>
      <c r="K149" s="47"/>
      <c r="L149" s="47"/>
      <c r="M149" s="47"/>
      <c r="N149" s="47"/>
      <c r="O149" s="47"/>
      <c r="P149" s="47"/>
    </row>
    <row r="150" spans="1:16" ht="15.75" hidden="1">
      <c r="A150" s="15"/>
      <c r="B150" s="27"/>
      <c r="C150" s="27"/>
      <c r="D150" s="27" t="s">
        <v>215</v>
      </c>
      <c r="E150" s="109">
        <v>0</v>
      </c>
      <c r="F150" s="53">
        <v>0</v>
      </c>
      <c r="G150" s="51" t="e">
        <f t="shared" si="4"/>
        <v>#DIV/0!</v>
      </c>
      <c r="H150" s="43" t="e">
        <f>F150/#REF!</f>
        <v>#REF!</v>
      </c>
      <c r="I150" s="56"/>
      <c r="K150" s="47"/>
      <c r="L150" s="47"/>
      <c r="M150" s="47"/>
      <c r="N150" s="47"/>
      <c r="O150" s="47"/>
      <c r="P150" s="47"/>
    </row>
    <row r="151" spans="1:16" ht="45.75" customHeight="1">
      <c r="A151" s="15"/>
      <c r="B151" s="27"/>
      <c r="C151" s="27">
        <f>'Zbiorczo-paragr'!C590</f>
        <v>4440</v>
      </c>
      <c r="D151" s="27" t="s">
        <v>16</v>
      </c>
      <c r="E151" s="109">
        <v>26428</v>
      </c>
      <c r="F151" s="53">
        <v>36416</v>
      </c>
      <c r="G151" s="51">
        <f t="shared" si="4"/>
        <v>1.3779324958377479</v>
      </c>
      <c r="H151" s="43" t="e">
        <f>F151/#REF!</f>
        <v>#REF!</v>
      </c>
      <c r="I151" s="56"/>
      <c r="K151" s="47"/>
      <c r="L151" s="47"/>
      <c r="M151" s="47"/>
      <c r="N151" s="47"/>
      <c r="O151" s="47"/>
      <c r="P151" s="47"/>
    </row>
    <row r="152" spans="1:16" s="62" customFormat="1" ht="15.75">
      <c r="A152" s="490" t="s">
        <v>47</v>
      </c>
      <c r="B152" s="491"/>
      <c r="C152" s="491"/>
      <c r="D152" s="492"/>
      <c r="E152" s="112">
        <f>SUM(E137+E139+E142+E143+E144+E147+E145+E148+E149+E151)</f>
        <v>705038</v>
      </c>
      <c r="F152" s="112">
        <f>SUM(F137+F139+F142+F143+F144+F147+F145+F148+F149+F151)</f>
        <v>841016</v>
      </c>
      <c r="G152" s="55">
        <f t="shared" si="4"/>
        <v>1.1928662001197099</v>
      </c>
      <c r="H152" s="43" t="e">
        <f>F152/#REF!</f>
        <v>#REF!</v>
      </c>
      <c r="I152" s="95"/>
      <c r="J152" s="61"/>
      <c r="K152" s="251"/>
      <c r="L152" s="61"/>
      <c r="M152" s="61"/>
      <c r="N152" s="61"/>
      <c r="O152" s="61"/>
      <c r="P152" s="61"/>
    </row>
    <row r="153" spans="1:16" s="62" customFormat="1" ht="15.75" hidden="1">
      <c r="A153" s="495">
        <f>'Zbiorczo-paragr'!A605</f>
        <v>854</v>
      </c>
      <c r="B153" s="495">
        <f>'Zbiorczo-paragr'!B605</f>
        <v>85412</v>
      </c>
      <c r="C153" s="495">
        <f>'Zbiorczo-paragr'!C605</f>
        <v>4110</v>
      </c>
      <c r="D153" s="58" t="str">
        <f>'Zbiorczo-paragr'!D605</f>
        <v xml:space="preserve">Składki na ubezpieczenia społeczne                      </v>
      </c>
      <c r="E153" s="109">
        <f>SUM(E154:E154)</f>
        <v>0</v>
      </c>
      <c r="F153" s="53">
        <f>SUM(F154:F154)</f>
        <v>0</v>
      </c>
      <c r="G153" s="51" t="e">
        <f t="shared" si="4"/>
        <v>#DIV/0!</v>
      </c>
      <c r="H153" s="43" t="e">
        <f>F153/#REF!</f>
        <v>#REF!</v>
      </c>
      <c r="I153" s="95"/>
      <c r="J153" s="61"/>
      <c r="K153" s="61"/>
      <c r="L153" s="61"/>
      <c r="M153" s="61"/>
      <c r="N153" s="61"/>
      <c r="O153" s="61"/>
      <c r="P153" s="61"/>
    </row>
    <row r="154" spans="1:16" s="62" customFormat="1" ht="18" hidden="1" customHeight="1">
      <c r="A154" s="509"/>
      <c r="B154" s="509"/>
      <c r="C154" s="511"/>
      <c r="D154" s="58" t="s">
        <v>500</v>
      </c>
      <c r="E154" s="109">
        <v>0</v>
      </c>
      <c r="F154" s="53">
        <v>0</v>
      </c>
      <c r="G154" s="51" t="e">
        <f t="shared" si="4"/>
        <v>#DIV/0!</v>
      </c>
      <c r="H154" s="43" t="e">
        <f>F154/#REF!</f>
        <v>#REF!</v>
      </c>
      <c r="I154" s="95"/>
      <c r="J154" s="61"/>
      <c r="K154" s="61"/>
      <c r="L154" s="61"/>
      <c r="M154" s="61"/>
      <c r="N154" s="61"/>
      <c r="O154" s="61"/>
      <c r="P154" s="61"/>
    </row>
    <row r="155" spans="1:16" ht="15.75" hidden="1">
      <c r="A155" s="509"/>
      <c r="B155" s="509"/>
      <c r="C155" s="515">
        <f>'Zbiorczo-paragr'!C614</f>
        <v>4210</v>
      </c>
      <c r="D155" s="63" t="str">
        <f>'Zbiorczo-paragr'!D614</f>
        <v xml:space="preserve">Zakup materiałów i wyposażenia                          </v>
      </c>
      <c r="E155" s="109">
        <f>SUM(E156)</f>
        <v>0</v>
      </c>
      <c r="F155" s="53">
        <f>SUM(F156)</f>
        <v>0</v>
      </c>
      <c r="G155" s="51" t="e">
        <f t="shared" si="4"/>
        <v>#DIV/0!</v>
      </c>
      <c r="H155" s="43" t="e">
        <f>F155/#REF!</f>
        <v>#REF!</v>
      </c>
      <c r="I155" s="56"/>
      <c r="J155" s="47"/>
      <c r="K155" s="47"/>
      <c r="L155" s="47"/>
      <c r="M155" s="47"/>
      <c r="N155" s="47"/>
      <c r="O155" s="47"/>
      <c r="P155" s="47"/>
    </row>
    <row r="156" spans="1:16" ht="18" hidden="1" customHeight="1">
      <c r="A156" s="509"/>
      <c r="B156" s="509"/>
      <c r="C156" s="517"/>
      <c r="D156" s="63" t="s">
        <v>501</v>
      </c>
      <c r="E156" s="109">
        <v>0</v>
      </c>
      <c r="F156" s="53">
        <v>0</v>
      </c>
      <c r="G156" s="51" t="e">
        <f t="shared" si="4"/>
        <v>#DIV/0!</v>
      </c>
      <c r="H156" s="43" t="e">
        <f>F156/#REF!</f>
        <v>#REF!</v>
      </c>
      <c r="I156" s="56"/>
      <c r="J156" s="47"/>
      <c r="K156" s="47"/>
      <c r="L156" s="47"/>
      <c r="M156" s="47"/>
      <c r="N156" s="47"/>
      <c r="O156" s="47"/>
      <c r="P156" s="47"/>
    </row>
    <row r="157" spans="1:16" ht="15.75" hidden="1">
      <c r="A157" s="509"/>
      <c r="B157" s="509"/>
      <c r="C157" s="515">
        <f>'Zbiorczo-paragr'!C618</f>
        <v>4300</v>
      </c>
      <c r="D157" s="63" t="str">
        <f>'Zbiorczo-paragr'!D618</f>
        <v xml:space="preserve">Zakup usług pozostałych                                 </v>
      </c>
      <c r="E157" s="109">
        <f>SUM(E158:E158)</f>
        <v>0</v>
      </c>
      <c r="F157" s="53">
        <f>SUM(F158:F158)</f>
        <v>0</v>
      </c>
      <c r="G157" s="51" t="e">
        <f t="shared" si="4"/>
        <v>#DIV/0!</v>
      </c>
      <c r="H157" s="43" t="e">
        <f>F157/#REF!</f>
        <v>#REF!</v>
      </c>
      <c r="I157" s="56"/>
      <c r="J157" s="47"/>
      <c r="K157" s="47"/>
      <c r="L157" s="47"/>
      <c r="M157" s="47"/>
      <c r="N157" s="47"/>
      <c r="O157" s="47"/>
      <c r="P157" s="47"/>
    </row>
    <row r="158" spans="1:16" ht="15.75" hidden="1">
      <c r="A158" s="509"/>
      <c r="B158" s="509"/>
      <c r="C158" s="517"/>
      <c r="D158" s="63" t="s">
        <v>502</v>
      </c>
      <c r="E158" s="109">
        <v>0</v>
      </c>
      <c r="F158" s="53">
        <v>0</v>
      </c>
      <c r="G158" s="51" t="e">
        <f t="shared" si="4"/>
        <v>#DIV/0!</v>
      </c>
      <c r="H158" s="43" t="e">
        <f>F158/#REF!</f>
        <v>#REF!</v>
      </c>
      <c r="I158" s="56"/>
      <c r="J158" s="47"/>
      <c r="K158" s="47"/>
      <c r="L158" s="47"/>
      <c r="M158" s="47"/>
      <c r="N158" s="47"/>
      <c r="O158" s="47"/>
      <c r="P158" s="47"/>
    </row>
    <row r="159" spans="1:16" ht="15.75" hidden="1">
      <c r="A159" s="509"/>
      <c r="B159" s="509"/>
      <c r="C159" s="515">
        <f>'Zbiorczo-paragr'!C622</f>
        <v>4420</v>
      </c>
      <c r="D159" s="40" t="str">
        <f>'Zbiorczo-paragr'!D622</f>
        <v xml:space="preserve">Podróże służbowe zagraniczne                                </v>
      </c>
      <c r="E159" s="109">
        <f>SUM(E160)</f>
        <v>0</v>
      </c>
      <c r="F159" s="53">
        <f>SUM(F160)</f>
        <v>0</v>
      </c>
      <c r="G159" s="51" t="e">
        <f t="shared" si="4"/>
        <v>#DIV/0!</v>
      </c>
      <c r="H159" s="43" t="e">
        <f>F159/#REF!</f>
        <v>#REF!</v>
      </c>
      <c r="I159" s="56"/>
      <c r="J159" s="47"/>
      <c r="K159" s="47"/>
      <c r="L159" s="47"/>
      <c r="M159" s="47"/>
      <c r="N159" s="47"/>
      <c r="O159" s="47"/>
      <c r="P159" s="47"/>
    </row>
    <row r="160" spans="1:16" ht="15.75" hidden="1">
      <c r="A160" s="510"/>
      <c r="B160" s="510"/>
      <c r="C160" s="516"/>
      <c r="D160" s="63" t="s">
        <v>159</v>
      </c>
      <c r="E160" s="109">
        <v>0</v>
      </c>
      <c r="F160" s="53">
        <v>0</v>
      </c>
      <c r="G160" s="51" t="e">
        <f t="shared" si="4"/>
        <v>#DIV/0!</v>
      </c>
      <c r="H160" s="43" t="e">
        <f>F160/#REF!</f>
        <v>#REF!</v>
      </c>
      <c r="I160" s="56"/>
      <c r="J160" s="47"/>
      <c r="K160" s="47"/>
      <c r="L160" s="47"/>
      <c r="M160" s="47"/>
      <c r="N160" s="47"/>
      <c r="O160" s="47"/>
      <c r="P160" s="47"/>
    </row>
    <row r="161" spans="1:16" ht="28.5" hidden="1" customHeight="1">
      <c r="A161" s="490" t="str">
        <f>'Zbiorczo-paragr'!A626:D626</f>
        <v>85412 Kolonie i obozy oraz inne formy wypoczynku dzieci i młodzieży szkolnej, a także szkolenia młodzieży: Razem</v>
      </c>
      <c r="B161" s="523"/>
      <c r="C161" s="523"/>
      <c r="D161" s="524"/>
      <c r="E161" s="112">
        <f>SUM(E153+E155+E157+E159)</f>
        <v>0</v>
      </c>
      <c r="F161" s="112">
        <f>SUM(F153+F155+F157+F159)</f>
        <v>0</v>
      </c>
      <c r="G161" s="55" t="e">
        <f t="shared" si="4"/>
        <v>#DIV/0!</v>
      </c>
      <c r="H161" s="43" t="e">
        <f>F161/#REF!</f>
        <v>#REF!</v>
      </c>
      <c r="I161" s="56"/>
      <c r="J161" s="47"/>
      <c r="K161" s="47"/>
      <c r="L161" s="47"/>
      <c r="M161" s="47"/>
      <c r="N161" s="47"/>
      <c r="O161" s="47"/>
      <c r="P161" s="47"/>
    </row>
    <row r="162" spans="1:16" ht="20.25" hidden="1" customHeight="1">
      <c r="A162" s="498">
        <v>854</v>
      </c>
      <c r="B162" s="498">
        <v>85415</v>
      </c>
      <c r="C162" s="495">
        <v>3260</v>
      </c>
      <c r="D162" s="29" t="s">
        <v>432</v>
      </c>
      <c r="E162" s="112">
        <f>E163</f>
        <v>0</v>
      </c>
      <c r="F162" s="112">
        <f>F163</f>
        <v>0</v>
      </c>
      <c r="G162" s="55" t="e">
        <f t="shared" si="4"/>
        <v>#DIV/0!</v>
      </c>
      <c r="H162" s="43"/>
      <c r="I162" s="56"/>
      <c r="J162" s="47"/>
      <c r="K162" s="47"/>
      <c r="L162" s="47"/>
      <c r="M162" s="47"/>
      <c r="N162" s="47"/>
      <c r="O162" s="47"/>
      <c r="P162" s="47"/>
    </row>
    <row r="163" spans="1:16" ht="21.75" hidden="1" customHeight="1">
      <c r="A163" s="498"/>
      <c r="B163" s="498"/>
      <c r="C163" s="528"/>
      <c r="D163" s="57" t="s">
        <v>503</v>
      </c>
      <c r="E163" s="109">
        <v>0</v>
      </c>
      <c r="F163" s="109">
        <v>0</v>
      </c>
      <c r="G163" s="51" t="e">
        <f t="shared" si="4"/>
        <v>#DIV/0!</v>
      </c>
      <c r="H163" s="43"/>
      <c r="I163" s="56"/>
      <c r="J163" s="47"/>
      <c r="K163" s="47"/>
      <c r="L163" s="47"/>
      <c r="M163" s="47"/>
      <c r="N163" s="47"/>
      <c r="O163" s="47"/>
      <c r="P163" s="47"/>
    </row>
    <row r="164" spans="1:16" ht="21.75" hidden="1" customHeight="1">
      <c r="A164" s="525" t="str">
        <f>'Zbiorczo-paragr'!A636:D636</f>
        <v>85415 Pomoc materialna dla uczniów o charakterze socjalnym : Razem</v>
      </c>
      <c r="B164" s="526"/>
      <c r="C164" s="526"/>
      <c r="D164" s="527"/>
      <c r="E164" s="112">
        <f>E162</f>
        <v>0</v>
      </c>
      <c r="F164" s="112">
        <f>F162</f>
        <v>0</v>
      </c>
      <c r="G164" s="55" t="e">
        <f t="shared" si="4"/>
        <v>#DIV/0!</v>
      </c>
      <c r="H164" s="43"/>
      <c r="I164" s="56"/>
      <c r="J164" s="47"/>
      <c r="K164" s="47"/>
      <c r="L164" s="47"/>
      <c r="M164" s="47"/>
      <c r="N164" s="47"/>
      <c r="O164" s="47"/>
      <c r="P164" s="47"/>
    </row>
    <row r="165" spans="1:16" ht="18" customHeight="1">
      <c r="A165" s="498">
        <v>854</v>
      </c>
      <c r="B165" s="498">
        <f>'Zbiorczo-paragr'!B637</f>
        <v>85416</v>
      </c>
      <c r="C165" s="495">
        <v>3040</v>
      </c>
      <c r="D165" s="144" t="str">
        <f>'Zbiorczo-paragr'!D637</f>
        <v>Nagrody o charakterze szczególnym niezaliczone do wynagrodzeń</v>
      </c>
      <c r="E165" s="109">
        <f>E166+E167</f>
        <v>6000</v>
      </c>
      <c r="F165" s="109">
        <f>F166+F167</f>
        <v>12500</v>
      </c>
      <c r="G165" s="51">
        <f t="shared" si="4"/>
        <v>2.0833333333333335</v>
      </c>
      <c r="H165" s="43"/>
      <c r="I165" s="56"/>
      <c r="J165" s="47"/>
      <c r="K165" s="47"/>
      <c r="L165" s="47"/>
      <c r="M165" s="47"/>
      <c r="N165" s="47"/>
      <c r="O165" s="47"/>
      <c r="P165" s="47"/>
    </row>
    <row r="166" spans="1:16" ht="15" customHeight="1">
      <c r="A166" s="498"/>
      <c r="B166" s="498"/>
      <c r="C166" s="496"/>
      <c r="D166" s="144" t="s">
        <v>477</v>
      </c>
      <c r="E166" s="109">
        <v>0</v>
      </c>
      <c r="F166" s="109">
        <v>7000</v>
      </c>
      <c r="G166" s="51" t="e">
        <f t="shared" si="4"/>
        <v>#DIV/0!</v>
      </c>
      <c r="H166" s="43"/>
      <c r="I166" s="56"/>
      <c r="J166" s="47"/>
      <c r="K166" s="47"/>
      <c r="L166" s="47"/>
      <c r="M166" s="47"/>
      <c r="N166" s="47"/>
      <c r="O166" s="47"/>
      <c r="P166" s="47"/>
    </row>
    <row r="167" spans="1:16" ht="18.75" customHeight="1">
      <c r="A167" s="498"/>
      <c r="B167" s="498"/>
      <c r="C167" s="528"/>
      <c r="D167" s="144" t="s">
        <v>478</v>
      </c>
      <c r="E167" s="109">
        <v>6000</v>
      </c>
      <c r="F167" s="109">
        <v>5500</v>
      </c>
      <c r="G167" s="51">
        <f t="shared" si="4"/>
        <v>0.91666666666666663</v>
      </c>
      <c r="H167" s="43"/>
      <c r="I167" s="56"/>
      <c r="J167" s="47"/>
      <c r="K167" s="47"/>
      <c r="L167" s="47"/>
      <c r="M167" s="47"/>
      <c r="N167" s="47"/>
      <c r="O167" s="47"/>
      <c r="P167" s="47"/>
    </row>
    <row r="168" spans="1:16" ht="14.25" customHeight="1">
      <c r="A168" s="498"/>
      <c r="B168" s="498"/>
      <c r="C168" s="141">
        <v>3240</v>
      </c>
      <c r="D168" s="64" t="str">
        <f>'Zbiorczo-paragr'!D640</f>
        <v>Stypendia dla uczniów</v>
      </c>
      <c r="E168" s="109">
        <f>SUM(E169+E170)</f>
        <v>37500</v>
      </c>
      <c r="F168" s="53">
        <f>SUM(F169+F170)</f>
        <v>35500</v>
      </c>
      <c r="G168" s="51">
        <f t="shared" si="4"/>
        <v>0.94666666666666666</v>
      </c>
      <c r="H168" s="43" t="e">
        <f>F168/#REF!</f>
        <v>#REF!</v>
      </c>
      <c r="I168" s="56"/>
      <c r="J168" s="47"/>
      <c r="K168" s="47"/>
      <c r="L168" s="47"/>
      <c r="M168" s="47"/>
      <c r="N168" s="47"/>
      <c r="O168" s="47"/>
      <c r="P168" s="47"/>
    </row>
    <row r="169" spans="1:16" ht="15.75" customHeight="1">
      <c r="A169" s="498"/>
      <c r="B169" s="498"/>
      <c r="C169" s="142"/>
      <c r="D169" s="29" t="s">
        <v>365</v>
      </c>
      <c r="E169" s="109">
        <v>28000</v>
      </c>
      <c r="F169" s="53">
        <v>30000</v>
      </c>
      <c r="G169" s="51">
        <f t="shared" si="4"/>
        <v>1.0714285714285714</v>
      </c>
      <c r="H169" s="43" t="e">
        <f>F169/#REF!</f>
        <v>#REF!</v>
      </c>
      <c r="I169" s="56"/>
      <c r="J169" s="47"/>
      <c r="K169" s="47"/>
      <c r="L169" s="47"/>
      <c r="M169" s="47"/>
      <c r="N169" s="47"/>
      <c r="O169" s="47"/>
      <c r="P169" s="47"/>
    </row>
    <row r="170" spans="1:16" ht="15.75" customHeight="1">
      <c r="A170" s="498"/>
      <c r="B170" s="498"/>
      <c r="C170" s="143"/>
      <c r="D170" s="29" t="s">
        <v>259</v>
      </c>
      <c r="E170" s="109">
        <v>9500</v>
      </c>
      <c r="F170" s="53">
        <v>5500</v>
      </c>
      <c r="G170" s="51">
        <f t="shared" si="4"/>
        <v>0.57894736842105265</v>
      </c>
      <c r="H170" s="43" t="e">
        <f>F170/#REF!</f>
        <v>#REF!</v>
      </c>
      <c r="I170" s="56"/>
      <c r="J170" s="47"/>
      <c r="K170" s="47"/>
      <c r="L170" s="47"/>
      <c r="M170" s="47"/>
      <c r="N170" s="47"/>
      <c r="O170" s="47"/>
      <c r="P170" s="47"/>
    </row>
    <row r="171" spans="1:16" ht="15" customHeight="1">
      <c r="A171" s="490" t="str">
        <f>'Zbiorczo-paragr'!A644:D644</f>
        <v>85416 Pomoc materialna dla uczniów o charakterze motywacyjnym : Razem</v>
      </c>
      <c r="B171" s="523"/>
      <c r="C171" s="523"/>
      <c r="D171" s="524"/>
      <c r="E171" s="112">
        <f>SUM(E165+E168)</f>
        <v>43500</v>
      </c>
      <c r="F171" s="112">
        <f>SUM(F165+F168)</f>
        <v>48000</v>
      </c>
      <c r="G171" s="55">
        <f t="shared" si="4"/>
        <v>1.103448275862069</v>
      </c>
      <c r="H171" s="43" t="e">
        <f>F171/#REF!</f>
        <v>#REF!</v>
      </c>
      <c r="I171" s="56"/>
      <c r="J171" s="47"/>
      <c r="K171" s="47"/>
      <c r="L171" s="47"/>
      <c r="M171" s="47"/>
      <c r="N171" s="47"/>
      <c r="O171" s="47"/>
      <c r="P171" s="47"/>
    </row>
    <row r="172" spans="1:16" ht="15.75">
      <c r="A172" s="519" t="str">
        <f>'Zbiorczo-paragr'!A645:D645</f>
        <v xml:space="preserve">854 Edukacyjna opieka wychowawcza - Razem                          </v>
      </c>
      <c r="B172" s="520"/>
      <c r="C172" s="520"/>
      <c r="D172" s="520"/>
      <c r="E172" s="110">
        <f>E152+E161+E171+E164</f>
        <v>748538</v>
      </c>
      <c r="F172" s="110">
        <f>F152+F161+F171+F164</f>
        <v>889016</v>
      </c>
      <c r="G172" s="55">
        <f t="shared" si="4"/>
        <v>1.187669831057341</v>
      </c>
      <c r="H172" s="43" t="e">
        <f>F172/#REF!</f>
        <v>#REF!</v>
      </c>
      <c r="I172" s="56"/>
      <c r="J172" s="47"/>
      <c r="K172" s="47"/>
      <c r="L172" s="47"/>
      <c r="M172" s="47"/>
      <c r="N172" s="47"/>
      <c r="O172" s="47"/>
      <c r="P172" s="47"/>
    </row>
    <row r="173" spans="1:16" ht="15.75">
      <c r="A173" s="490" t="str">
        <f>'Zbiorczo-paragr'!A661:D661</f>
        <v>WYDATKI OGÓŁEM</v>
      </c>
      <c r="B173" s="521"/>
      <c r="C173" s="521"/>
      <c r="D173" s="522"/>
      <c r="E173" s="111">
        <f>E172+E136</f>
        <v>9536432.3100000005</v>
      </c>
      <c r="F173" s="59">
        <f>F172+F136</f>
        <v>10213647</v>
      </c>
      <c r="G173" s="66">
        <f t="shared" si="4"/>
        <v>1.0710134217898097</v>
      </c>
      <c r="H173" s="43" t="e">
        <f>F173/#REF!</f>
        <v>#REF!</v>
      </c>
      <c r="I173" s="56"/>
      <c r="J173" s="47"/>
      <c r="K173" s="47"/>
      <c r="L173" s="47"/>
      <c r="M173" s="47"/>
      <c r="N173" s="47"/>
      <c r="O173" s="47"/>
      <c r="P173" s="47"/>
    </row>
    <row r="174" spans="1:16" ht="12.75" customHeight="1">
      <c r="A174" s="493"/>
      <c r="B174" s="494"/>
      <c r="C174" s="494"/>
      <c r="D174" s="494"/>
      <c r="E174" s="494"/>
      <c r="F174" s="494"/>
      <c r="G174" s="494"/>
    </row>
    <row r="175" spans="1:16" ht="80.25" hidden="1" customHeight="1">
      <c r="A175" s="486" t="s">
        <v>239</v>
      </c>
      <c r="B175" s="487"/>
      <c r="C175" s="487"/>
      <c r="D175" s="487"/>
      <c r="E175" s="487"/>
      <c r="F175" s="487"/>
      <c r="G175" s="487"/>
    </row>
    <row r="176" spans="1:16" ht="67.5" hidden="1" customHeight="1">
      <c r="A176" s="488" t="s">
        <v>385</v>
      </c>
      <c r="B176" s="489"/>
      <c r="C176" s="489"/>
      <c r="D176" s="489"/>
      <c r="E176" s="489"/>
      <c r="F176" s="489"/>
      <c r="G176" s="489"/>
    </row>
    <row r="177" spans="1:10" ht="48" hidden="1" customHeight="1">
      <c r="A177" s="488" t="s">
        <v>136</v>
      </c>
      <c r="B177" s="518"/>
      <c r="C177" s="518"/>
      <c r="D177" s="518"/>
      <c r="E177" s="518"/>
      <c r="F177" s="489"/>
      <c r="G177" s="489"/>
    </row>
    <row r="178" spans="1:10" ht="49.5" hidden="1" customHeight="1">
      <c r="A178" s="488" t="s">
        <v>43</v>
      </c>
      <c r="B178" s="489"/>
      <c r="C178" s="489"/>
      <c r="D178" s="489"/>
      <c r="E178" s="489"/>
      <c r="F178" s="489"/>
      <c r="G178" s="489"/>
    </row>
    <row r="179" spans="1:10" ht="34.5" hidden="1" customHeight="1">
      <c r="A179" s="530" t="s">
        <v>42</v>
      </c>
      <c r="B179" s="518"/>
      <c r="C179" s="518"/>
      <c r="D179" s="518"/>
      <c r="E179" s="518"/>
      <c r="F179" s="518"/>
      <c r="G179" s="518"/>
      <c r="I179" s="96"/>
      <c r="J179" s="67"/>
    </row>
    <row r="180" spans="1:10" ht="31.5" hidden="1" customHeight="1">
      <c r="A180" s="488" t="s">
        <v>171</v>
      </c>
      <c r="B180" s="489"/>
      <c r="C180" s="489"/>
      <c r="D180" s="489"/>
      <c r="E180" s="489"/>
      <c r="F180" s="489"/>
      <c r="G180" s="489"/>
    </row>
    <row r="181" spans="1:10" ht="33" hidden="1" customHeight="1">
      <c r="A181" s="529" t="s">
        <v>262</v>
      </c>
      <c r="B181" s="518"/>
      <c r="C181" s="518"/>
      <c r="D181" s="518"/>
      <c r="E181" s="518"/>
      <c r="F181" s="518"/>
      <c r="G181" s="518"/>
    </row>
    <row r="182" spans="1:10" hidden="1"/>
    <row r="183" spans="1:10" ht="17.25" hidden="1" customHeight="1">
      <c r="A183" s="483" t="s">
        <v>423</v>
      </c>
      <c r="B183" s="483"/>
      <c r="C183" s="483"/>
      <c r="D183" s="483"/>
      <c r="E183" s="483"/>
      <c r="F183" s="483"/>
      <c r="G183" s="483"/>
    </row>
    <row r="184" spans="1:10" hidden="1">
      <c r="A184" s="483" t="s">
        <v>27</v>
      </c>
      <c r="B184" s="483"/>
      <c r="C184" s="483"/>
      <c r="D184" s="483"/>
      <c r="E184" s="483"/>
      <c r="F184" s="483"/>
      <c r="G184" s="483"/>
      <c r="H184" s="483"/>
      <c r="I184" s="483"/>
      <c r="J184" s="483"/>
    </row>
    <row r="185" spans="1:10" hidden="1">
      <c r="A185" s="483" t="s">
        <v>28</v>
      </c>
      <c r="B185" s="483"/>
      <c r="C185" s="483"/>
      <c r="D185" s="483"/>
      <c r="E185" s="483"/>
      <c r="F185" s="483"/>
      <c r="G185" s="483"/>
      <c r="H185" s="483"/>
      <c r="I185" s="483"/>
      <c r="J185" s="483"/>
    </row>
    <row r="186" spans="1:10" hidden="1">
      <c r="A186" s="483"/>
      <c r="B186" s="483"/>
      <c r="C186" s="483"/>
      <c r="D186" s="483"/>
      <c r="E186" s="483"/>
      <c r="F186" s="483"/>
      <c r="G186" s="483"/>
      <c r="H186" s="483"/>
      <c r="I186" s="483"/>
      <c r="J186" s="483"/>
    </row>
    <row r="187" spans="1:10" hidden="1">
      <c r="A187" s="483"/>
      <c r="B187" s="483"/>
      <c r="C187" s="483"/>
      <c r="D187" s="483"/>
    </row>
    <row r="188" spans="1:10" hidden="1">
      <c r="A188" s="483" t="s">
        <v>97</v>
      </c>
      <c r="B188" s="483"/>
      <c r="C188" s="483"/>
      <c r="D188" s="85">
        <v>41228</v>
      </c>
      <c r="F188" s="72"/>
    </row>
    <row r="189" spans="1:10" hidden="1">
      <c r="F189" s="78"/>
    </row>
    <row r="190" spans="1:10" hidden="1">
      <c r="A190" s="481" t="s">
        <v>93</v>
      </c>
      <c r="B190" s="482"/>
      <c r="C190" s="482"/>
      <c r="D190" s="482"/>
      <c r="E190" s="482"/>
      <c r="F190" s="482"/>
      <c r="G190" s="482"/>
    </row>
    <row r="191" spans="1:10" hidden="1">
      <c r="A191" s="483" t="s">
        <v>94</v>
      </c>
      <c r="B191" s="484"/>
      <c r="C191" s="484"/>
      <c r="D191" s="484"/>
      <c r="E191" s="484"/>
      <c r="F191" s="484"/>
      <c r="G191" s="484"/>
    </row>
    <row r="192" spans="1:10" hidden="1">
      <c r="C192" s="52">
        <v>3020</v>
      </c>
      <c r="D192" s="78">
        <f>6600*2</f>
        <v>13200</v>
      </c>
    </row>
    <row r="193" spans="3:6" hidden="1">
      <c r="C193" s="52">
        <v>4010</v>
      </c>
      <c r="D193" s="78">
        <f>32000*2</f>
        <v>64000</v>
      </c>
    </row>
    <row r="194" spans="3:6" hidden="1">
      <c r="C194" s="52">
        <v>4110</v>
      </c>
      <c r="D194" s="78">
        <f>7100*2</f>
        <v>14200</v>
      </c>
    </row>
    <row r="195" spans="3:6" hidden="1">
      <c r="C195" s="52">
        <v>4120</v>
      </c>
      <c r="D195" s="78">
        <f>1000*2</f>
        <v>2000</v>
      </c>
    </row>
    <row r="196" spans="3:6" hidden="1">
      <c r="D196" s="98">
        <f>SUM(D192:D195)</f>
        <v>93400</v>
      </c>
    </row>
    <row r="197" spans="3:6">
      <c r="F197" s="78"/>
    </row>
    <row r="198" spans="3:6">
      <c r="F198" s="78"/>
    </row>
    <row r="199" spans="3:6">
      <c r="F199" s="78"/>
    </row>
  </sheetData>
  <mergeCells count="47">
    <mergeCell ref="A131:A134"/>
    <mergeCell ref="B131:B134"/>
    <mergeCell ref="C131:C134"/>
    <mergeCell ref="A135:D135"/>
    <mergeCell ref="A181:G181"/>
    <mergeCell ref="A180:G180"/>
    <mergeCell ref="A179:G179"/>
    <mergeCell ref="A165:A170"/>
    <mergeCell ref="B165:B170"/>
    <mergeCell ref="C165:C167"/>
    <mergeCell ref="A183:G183"/>
    <mergeCell ref="A177:G177"/>
    <mergeCell ref="A172:D172"/>
    <mergeCell ref="A173:D173"/>
    <mergeCell ref="A161:D161"/>
    <mergeCell ref="A171:D171"/>
    <mergeCell ref="A176:G176"/>
    <mergeCell ref="A164:D164"/>
    <mergeCell ref="B162:B163"/>
    <mergeCell ref="C162:C163"/>
    <mergeCell ref="A43:D43"/>
    <mergeCell ref="A100:D100"/>
    <mergeCell ref="A61:D61"/>
    <mergeCell ref="A153:A160"/>
    <mergeCell ref="B153:B160"/>
    <mergeCell ref="C153:C154"/>
    <mergeCell ref="A136:D136"/>
    <mergeCell ref="C159:C160"/>
    <mergeCell ref="C155:C156"/>
    <mergeCell ref="C157:C158"/>
    <mergeCell ref="A1:G1"/>
    <mergeCell ref="A175:G175"/>
    <mergeCell ref="A178:G178"/>
    <mergeCell ref="A110:D110"/>
    <mergeCell ref="A152:D152"/>
    <mergeCell ref="A174:G174"/>
    <mergeCell ref="A111:A125"/>
    <mergeCell ref="B111:B125"/>
    <mergeCell ref="A130:D130"/>
    <mergeCell ref="A162:A163"/>
    <mergeCell ref="A190:G190"/>
    <mergeCell ref="A191:G191"/>
    <mergeCell ref="A187:D187"/>
    <mergeCell ref="A184:J184"/>
    <mergeCell ref="A185:J185"/>
    <mergeCell ref="A186:J186"/>
    <mergeCell ref="A188:C188"/>
  </mergeCells>
  <phoneticPr fontId="4" type="noConversion"/>
  <printOptions horizontalCentered="1"/>
  <pageMargins left="0" right="0" top="0.98425196850393704" bottom="0.98425196850393704" header="0.51181102362204722" footer="0.51181102362204722"/>
  <pageSetup paperSize="9" scale="84" orientation="portrait" r:id="rId1"/>
  <headerFooter alignWithMargins="0">
    <oddFooter>Strona &amp;P</oddFooter>
  </headerFooter>
  <rowBreaks count="3" manualBreakCount="3">
    <brk id="37" max="6" man="1"/>
    <brk id="86" max="6" man="1"/>
    <brk id="136" max="6" man="1"/>
  </rowBreaks>
</worksheet>
</file>

<file path=xl/worksheets/sheet10.xml><?xml version="1.0" encoding="utf-8"?>
<worksheet xmlns="http://schemas.openxmlformats.org/spreadsheetml/2006/main" xmlns:r="http://schemas.openxmlformats.org/officeDocument/2006/relationships">
  <dimension ref="B1:L33"/>
  <sheetViews>
    <sheetView topLeftCell="A3" zoomScaleNormal="100" workbookViewId="0">
      <selection activeCell="F31" sqref="F30:F35"/>
    </sheetView>
  </sheetViews>
  <sheetFormatPr defaultRowHeight="12.75"/>
  <cols>
    <col min="1" max="1" width="4" style="122" customWidth="1"/>
    <col min="2" max="2" width="45.7109375" style="122" customWidth="1"/>
    <col min="3" max="3" width="13.5703125" style="122" customWidth="1"/>
    <col min="4" max="5" width="9" style="126" customWidth="1"/>
    <col min="6" max="6" width="14.42578125" style="122" customWidth="1"/>
    <col min="7" max="7" width="14.28515625" style="125" hidden="1" customWidth="1"/>
    <col min="8" max="8" width="0.140625" style="122" customWidth="1"/>
    <col min="9" max="9" width="11.7109375" style="122" customWidth="1"/>
    <col min="10" max="10" width="9.140625" style="122"/>
    <col min="11" max="11" width="11.7109375" style="122" bestFit="1" customWidth="1"/>
    <col min="12" max="12" width="9.28515625" style="122" bestFit="1" customWidth="1"/>
    <col min="13" max="13" width="10.140625" style="122" bestFit="1" customWidth="1"/>
    <col min="14" max="16384" width="9.140625" style="122"/>
  </cols>
  <sheetData>
    <row r="1" spans="2:10" ht="25.5" customHeight="1">
      <c r="B1" s="645" t="s">
        <v>870</v>
      </c>
      <c r="C1" s="645"/>
      <c r="D1" s="645"/>
      <c r="E1" s="645"/>
      <c r="F1" s="645"/>
      <c r="G1" s="645"/>
      <c r="H1" s="12"/>
      <c r="I1" s="12"/>
    </row>
    <row r="2" spans="2:10" ht="46.5" customHeight="1">
      <c r="B2" s="4" t="s">
        <v>264</v>
      </c>
      <c r="C2" s="159" t="s">
        <v>856</v>
      </c>
      <c r="D2" s="159" t="s">
        <v>300</v>
      </c>
      <c r="E2" s="159" t="s">
        <v>557</v>
      </c>
      <c r="F2" s="159" t="s">
        <v>862</v>
      </c>
      <c r="G2" s="180" t="s">
        <v>863</v>
      </c>
      <c r="H2" s="160" t="s">
        <v>559</v>
      </c>
    </row>
    <row r="3" spans="2:10">
      <c r="B3" s="479" t="s">
        <v>864</v>
      </c>
      <c r="C3" s="124">
        <f>'ZSO Kom'!F59+'ZSO Kom'!F145+[3]Komorów!$G$61</f>
        <v>273775</v>
      </c>
      <c r="D3" s="123">
        <f>46</f>
        <v>46</v>
      </c>
      <c r="E3" s="123"/>
      <c r="F3" s="6"/>
      <c r="G3" s="124">
        <f>'[4]Pd Mich'!G68</f>
        <v>2599361</v>
      </c>
      <c r="H3" s="123"/>
    </row>
    <row r="4" spans="2:10">
      <c r="B4" s="479" t="s">
        <v>865</v>
      </c>
      <c r="C4" s="124">
        <f>'ZS Mich'!F61+[3]Michałowice!$G$66</f>
        <v>590364</v>
      </c>
      <c r="D4" s="123">
        <f>97</f>
        <v>97</v>
      </c>
      <c r="E4" s="123"/>
      <c r="F4" s="6"/>
      <c r="G4" s="124"/>
      <c r="H4" s="123"/>
    </row>
    <row r="5" spans="2:10">
      <c r="B5" s="479" t="s">
        <v>866</v>
      </c>
      <c r="C5" s="124">
        <f>'ZSP NW'!F63+'ZSP NW'!F152+'ZSP NW'!F155+'ZSP NW'!F158+'ZSP NW'!F161+'[3]Nowa Wieś'!$G$60</f>
        <v>641932</v>
      </c>
      <c r="D5" s="123">
        <f>107</f>
        <v>107</v>
      </c>
      <c r="E5" s="123"/>
      <c r="F5" s="6"/>
      <c r="G5" s="124">
        <f>'[4]Pd NW'!F65</f>
        <v>935566</v>
      </c>
      <c r="H5" s="123"/>
      <c r="I5" s="125"/>
      <c r="J5" s="125"/>
    </row>
    <row r="6" spans="2:10" ht="25.5">
      <c r="B6" s="181" t="s">
        <v>867</v>
      </c>
      <c r="C6" s="124">
        <f>(CUW!F189)/E6*D7</f>
        <v>106386.84074220773</v>
      </c>
      <c r="D6" s="123"/>
      <c r="E6" s="124">
        <v>2854</v>
      </c>
      <c r="F6" s="6"/>
      <c r="G6" s="124">
        <f>C6</f>
        <v>106386.84074220773</v>
      </c>
      <c r="H6" s="123"/>
    </row>
    <row r="7" spans="2:10" s="3" customFormat="1">
      <c r="B7" s="4"/>
      <c r="C7" s="5">
        <f>SUM(C3:C6)</f>
        <v>1612457.8407422078</v>
      </c>
      <c r="D7" s="4">
        <f>SUM(D3:D6)</f>
        <v>250</v>
      </c>
      <c r="E7" s="4"/>
      <c r="F7" s="6">
        <f>C7/D7/12</f>
        <v>537.48594691406925</v>
      </c>
      <c r="G7" s="5">
        <f>SUM(G3:G6)</f>
        <v>3641313.8407422076</v>
      </c>
      <c r="H7" s="6">
        <f>G7/D7/12</f>
        <v>1213.7712802474025</v>
      </c>
      <c r="I7" s="120"/>
    </row>
    <row r="8" spans="2:10" s="3" customFormat="1">
      <c r="B8" s="158" t="s">
        <v>868</v>
      </c>
      <c r="C8" s="124">
        <v>0</v>
      </c>
      <c r="D8" s="4"/>
      <c r="E8" s="4"/>
      <c r="F8" s="6"/>
      <c r="G8" s="5"/>
      <c r="H8" s="4"/>
    </row>
    <row r="9" spans="2:10" s="3" customFormat="1">
      <c r="B9" s="158" t="s">
        <v>868</v>
      </c>
      <c r="C9" s="124">
        <v>0</v>
      </c>
      <c r="D9" s="4"/>
      <c r="E9" s="4"/>
      <c r="F9" s="6"/>
      <c r="G9" s="5"/>
      <c r="H9" s="4"/>
    </row>
    <row r="10" spans="2:10" s="3" customFormat="1" ht="22.5">
      <c r="B10" s="156" t="s">
        <v>554</v>
      </c>
      <c r="C10" s="124">
        <f>D7-D10</f>
        <v>249</v>
      </c>
      <c r="D10" s="4">
        <v>1</v>
      </c>
      <c r="E10" s="4"/>
      <c r="F10" s="6"/>
      <c r="G10" s="5"/>
      <c r="H10" s="4"/>
    </row>
    <row r="11" spans="2:10" s="3" customFormat="1" ht="22.5">
      <c r="B11" s="156" t="s">
        <v>869</v>
      </c>
      <c r="C11" s="124">
        <f>1007.26*12</f>
        <v>12087.119999999999</v>
      </c>
      <c r="D11" s="4"/>
      <c r="E11" s="4"/>
      <c r="F11" s="6"/>
      <c r="G11" s="5"/>
      <c r="H11" s="4"/>
    </row>
    <row r="12" spans="2:10" s="3" customFormat="1">
      <c r="B12" s="4"/>
      <c r="C12" s="5">
        <f>C7-C8-C9-C11</f>
        <v>1600370.7207422077</v>
      </c>
      <c r="D12" s="5">
        <f>D7-D10</f>
        <v>249</v>
      </c>
      <c r="E12" s="5"/>
      <c r="F12" s="6">
        <f>C12/D12/12</f>
        <v>535.59930413059158</v>
      </c>
      <c r="G12" s="5"/>
      <c r="H12" s="4"/>
    </row>
    <row r="13" spans="2:10" s="3" customFormat="1" ht="12.75" hidden="1" customHeight="1">
      <c r="B13" s="4"/>
      <c r="C13" s="5"/>
      <c r="D13" s="6"/>
      <c r="E13" s="6"/>
      <c r="F13" s="6"/>
      <c r="G13" s="5"/>
      <c r="H13" s="4"/>
    </row>
    <row r="14" spans="2:10" s="3" customFormat="1">
      <c r="D14" s="10"/>
      <c r="E14" s="10"/>
      <c r="F14" s="10"/>
      <c r="G14" s="9"/>
      <c r="H14" s="8"/>
      <c r="I14" s="107"/>
    </row>
    <row r="15" spans="2:10" s="3" customFormat="1">
      <c r="B15" s="8"/>
      <c r="C15" s="9"/>
      <c r="D15" s="10"/>
      <c r="E15" s="10"/>
      <c r="F15" s="10"/>
      <c r="G15" s="9"/>
      <c r="H15" s="8"/>
    </row>
    <row r="16" spans="2:10" s="3" customFormat="1" ht="12.75" hidden="1" customHeight="1">
      <c r="B16" s="8" t="s">
        <v>555</v>
      </c>
      <c r="C16" s="9"/>
      <c r="D16" s="10"/>
      <c r="E16" s="10"/>
      <c r="F16" s="10">
        <v>703.98</v>
      </c>
      <c r="G16" s="9"/>
      <c r="H16" s="8">
        <v>29.37</v>
      </c>
    </row>
    <row r="17" spans="2:12" s="3" customFormat="1" ht="12.75" hidden="1" customHeight="1">
      <c r="B17" s="8" t="s">
        <v>560</v>
      </c>
      <c r="C17" s="9"/>
      <c r="D17" s="10"/>
      <c r="E17" s="10"/>
      <c r="F17" s="10">
        <v>375.46</v>
      </c>
      <c r="G17" s="107"/>
      <c r="H17" s="3">
        <v>15.67</v>
      </c>
    </row>
    <row r="18" spans="2:12" s="3" customFormat="1" ht="12.75" hidden="1" customHeight="1">
      <c r="B18" s="8" t="s">
        <v>556</v>
      </c>
      <c r="C18" s="9"/>
      <c r="D18" s="10"/>
      <c r="E18" s="10"/>
      <c r="F18" s="10">
        <v>1820</v>
      </c>
      <c r="G18" s="107">
        <v>4320</v>
      </c>
    </row>
    <row r="19" spans="2:12" s="3" customFormat="1" hidden="1">
      <c r="B19" s="8" t="s">
        <v>182</v>
      </c>
      <c r="C19" s="9">
        <v>0</v>
      </c>
      <c r="D19" s="10"/>
      <c r="E19" s="10"/>
      <c r="F19" s="10"/>
      <c r="G19" s="107"/>
    </row>
    <row r="20" spans="2:12" s="3" customFormat="1" hidden="1">
      <c r="B20" s="8" t="s">
        <v>222</v>
      </c>
      <c r="C20" s="9">
        <v>0</v>
      </c>
      <c r="D20" s="10"/>
      <c r="E20" s="10">
        <v>21</v>
      </c>
      <c r="F20" s="10"/>
      <c r="G20" s="107"/>
    </row>
    <row r="21" spans="2:12" s="3" customFormat="1" hidden="1">
      <c r="B21" s="8" t="s">
        <v>223</v>
      </c>
      <c r="C21" s="9">
        <v>0</v>
      </c>
      <c r="D21" s="10"/>
      <c r="E21" s="10">
        <v>50</v>
      </c>
      <c r="F21" s="10"/>
      <c r="G21" s="120"/>
    </row>
    <row r="22" spans="2:12" s="3" customFormat="1" hidden="1">
      <c r="B22" s="8" t="s">
        <v>224</v>
      </c>
      <c r="C22" s="9">
        <v>0</v>
      </c>
      <c r="D22" s="10"/>
      <c r="E22" s="10">
        <v>20</v>
      </c>
      <c r="F22" s="10"/>
      <c r="G22" s="107"/>
    </row>
    <row r="23" spans="2:12" s="3" customFormat="1" hidden="1">
      <c r="B23" s="8" t="s">
        <v>183</v>
      </c>
      <c r="C23" s="9">
        <f>SUM(C18+C19+C20+C21+C22)</f>
        <v>0</v>
      </c>
      <c r="D23" s="10"/>
      <c r="E23" s="10"/>
      <c r="F23" s="10"/>
      <c r="G23" s="107"/>
    </row>
    <row r="24" spans="2:12" s="3" customFormat="1">
      <c r="B24" s="8"/>
      <c r="C24" s="9"/>
      <c r="D24" s="10"/>
      <c r="E24" s="10"/>
      <c r="F24" s="10"/>
      <c r="G24" s="107"/>
    </row>
    <row r="25" spans="2:12" ht="44.25" customHeight="1">
      <c r="B25" s="482" t="s">
        <v>871</v>
      </c>
      <c r="C25" s="482"/>
      <c r="D25" s="482"/>
      <c r="E25" s="97"/>
      <c r="F25" s="120">
        <f>F12*0.75</f>
        <v>401.69947809794371</v>
      </c>
      <c r="H25" s="126"/>
      <c r="I25" s="126"/>
      <c r="L25" s="126"/>
    </row>
    <row r="33" spans="6:6">
      <c r="F33" s="480"/>
    </row>
  </sheetData>
  <mergeCells count="2">
    <mergeCell ref="B1:G1"/>
    <mergeCell ref="B25:D25"/>
  </mergeCells>
  <pageMargins left="0.7" right="0.7" top="0.75" bottom="0.75" header="0.3" footer="0.3"/>
  <pageSetup paperSize="9" scale="93" orientation="portrait" verticalDpi="0" r:id="rId1"/>
  <colBreaks count="1" manualBreakCount="1">
    <brk id="7" max="1048575" man="1"/>
  </colBreaks>
</worksheet>
</file>

<file path=xl/worksheets/sheet11.xml><?xml version="1.0" encoding="utf-8"?>
<worksheet xmlns="http://schemas.openxmlformats.org/spreadsheetml/2006/main" xmlns:r="http://schemas.openxmlformats.org/officeDocument/2006/relationships">
  <dimension ref="A1:I27"/>
  <sheetViews>
    <sheetView topLeftCell="A4" workbookViewId="0">
      <selection activeCell="H28" sqref="H28"/>
    </sheetView>
  </sheetViews>
  <sheetFormatPr defaultRowHeight="12.75"/>
  <cols>
    <col min="1" max="1" width="4" style="122" customWidth="1"/>
    <col min="2" max="2" width="75.42578125" style="122" customWidth="1"/>
    <col min="3" max="3" width="11.7109375" style="122" customWidth="1"/>
    <col min="4" max="4" width="9" style="126" customWidth="1"/>
    <col min="5" max="5" width="14.42578125" style="122" customWidth="1"/>
    <col min="6" max="6" width="14.28515625" style="125" customWidth="1"/>
    <col min="7" max="7" width="14" style="122" customWidth="1"/>
    <col min="8" max="8" width="11.7109375" style="122" customWidth="1"/>
    <col min="9" max="9" width="9.140625" style="122"/>
    <col min="10" max="10" width="11.7109375" style="122" bestFit="1" customWidth="1"/>
    <col min="11" max="11" width="9.28515625" style="122" bestFit="1" customWidth="1"/>
    <col min="12" max="12" width="10.140625" style="122" bestFit="1" customWidth="1"/>
    <col min="13" max="16384" width="9.140625" style="122"/>
  </cols>
  <sheetData>
    <row r="1" spans="1:9">
      <c r="A1" s="129"/>
      <c r="B1" s="1"/>
      <c r="C1" s="8"/>
      <c r="D1" s="128"/>
      <c r="E1" s="9"/>
      <c r="G1" s="103"/>
    </row>
    <row r="2" spans="1:9">
      <c r="A2" s="129"/>
      <c r="B2" s="1"/>
      <c r="C2" s="8"/>
      <c r="D2" s="128"/>
      <c r="E2" s="9"/>
      <c r="G2" s="103"/>
    </row>
    <row r="3" spans="1:9">
      <c r="A3" s="129"/>
      <c r="B3" s="1" t="s">
        <v>305</v>
      </c>
      <c r="C3" s="130">
        <v>710.92</v>
      </c>
      <c r="D3" s="130">
        <f>1338/12*0.75</f>
        <v>83.625</v>
      </c>
      <c r="E3" s="131">
        <f>C3-D3</f>
        <v>627.29499999999996</v>
      </c>
    </row>
    <row r="4" spans="1:9">
      <c r="B4" s="132" t="s">
        <v>306</v>
      </c>
      <c r="C4" s="133">
        <v>379.16</v>
      </c>
      <c r="D4" s="130">
        <f>1338/12*0.4</f>
        <v>44.6</v>
      </c>
      <c r="E4" s="131">
        <f>C4-D4</f>
        <v>334.56</v>
      </c>
    </row>
    <row r="5" spans="1:9">
      <c r="A5" s="123"/>
      <c r="B5" s="7" t="s">
        <v>200</v>
      </c>
      <c r="C5" s="7" t="s">
        <v>19</v>
      </c>
      <c r="D5" s="11"/>
      <c r="E5" s="4" t="s">
        <v>26</v>
      </c>
    </row>
    <row r="6" spans="1:9">
      <c r="A6" s="123">
        <v>1</v>
      </c>
      <c r="B6" s="123" t="s">
        <v>21</v>
      </c>
      <c r="C6" s="123">
        <v>11</v>
      </c>
      <c r="D6" s="127">
        <v>629.36</v>
      </c>
      <c r="E6" s="127">
        <f>SUM(C6*$D$6*12)</f>
        <v>83075.520000000004</v>
      </c>
    </row>
    <row r="7" spans="1:9">
      <c r="A7" s="123">
        <v>2</v>
      </c>
      <c r="B7" s="123" t="s">
        <v>23</v>
      </c>
      <c r="C7" s="123">
        <v>42</v>
      </c>
      <c r="D7" s="123"/>
      <c r="E7" s="127">
        <f t="shared" ref="E7:E14" si="0">SUM(C7*$D$6*12)</f>
        <v>317197.44</v>
      </c>
      <c r="G7" s="125"/>
    </row>
    <row r="8" spans="1:9">
      <c r="A8" s="123">
        <v>3</v>
      </c>
      <c r="B8" s="123" t="s">
        <v>22</v>
      </c>
      <c r="C8" s="123">
        <v>20</v>
      </c>
      <c r="D8" s="123"/>
      <c r="E8" s="127">
        <f t="shared" si="0"/>
        <v>151046.40000000002</v>
      </c>
      <c r="G8" s="125"/>
    </row>
    <row r="9" spans="1:9">
      <c r="A9" s="123">
        <v>4</v>
      </c>
      <c r="B9" s="123" t="s">
        <v>24</v>
      </c>
      <c r="C9" s="123">
        <v>17</v>
      </c>
      <c r="D9" s="4"/>
      <c r="E9" s="127">
        <f t="shared" si="0"/>
        <v>128389.44</v>
      </c>
    </row>
    <row r="10" spans="1:9">
      <c r="A10" s="123">
        <v>5</v>
      </c>
      <c r="B10" s="123" t="s">
        <v>20</v>
      </c>
      <c r="C10" s="123">
        <v>49</v>
      </c>
      <c r="D10" s="4"/>
      <c r="E10" s="127">
        <f t="shared" si="0"/>
        <v>370063.68</v>
      </c>
    </row>
    <row r="11" spans="1:9">
      <c r="A11" s="123">
        <v>6</v>
      </c>
      <c r="B11" s="123" t="s">
        <v>242</v>
      </c>
      <c r="C11" s="123">
        <v>1</v>
      </c>
      <c r="D11" s="123"/>
      <c r="E11" s="127">
        <f t="shared" si="0"/>
        <v>7552.32</v>
      </c>
      <c r="G11" s="125"/>
    </row>
    <row r="12" spans="1:9">
      <c r="A12" s="123">
        <v>7</v>
      </c>
      <c r="B12" s="123" t="s">
        <v>205</v>
      </c>
      <c r="C12" s="123">
        <v>5</v>
      </c>
      <c r="D12" s="123"/>
      <c r="E12" s="127">
        <f t="shared" si="0"/>
        <v>37761.600000000006</v>
      </c>
      <c r="G12" s="125"/>
    </row>
    <row r="13" spans="1:9">
      <c r="A13" s="123">
        <v>8</v>
      </c>
      <c r="B13" s="123" t="s">
        <v>439</v>
      </c>
      <c r="C13" s="123">
        <v>3</v>
      </c>
      <c r="D13" s="123"/>
      <c r="E13" s="127">
        <f t="shared" si="0"/>
        <v>22656.959999999999</v>
      </c>
      <c r="G13" s="125"/>
    </row>
    <row r="14" spans="1:9">
      <c r="A14" s="123">
        <v>9</v>
      </c>
      <c r="B14" s="123" t="s">
        <v>213</v>
      </c>
      <c r="C14" s="123">
        <v>2</v>
      </c>
      <c r="D14" s="123"/>
      <c r="E14" s="127">
        <f t="shared" si="0"/>
        <v>15104.64</v>
      </c>
    </row>
    <row r="15" spans="1:9">
      <c r="A15" s="123"/>
      <c r="B15" s="4" t="s">
        <v>426</v>
      </c>
      <c r="C15" s="4">
        <f>SUM(C6:C14)</f>
        <v>150</v>
      </c>
      <c r="D15" s="4"/>
      <c r="E15" s="6">
        <f>SUM(E6:E14)</f>
        <v>1132848</v>
      </c>
      <c r="I15" s="125"/>
    </row>
    <row r="16" spans="1:9">
      <c r="A16" s="123"/>
      <c r="B16" s="7" t="s">
        <v>425</v>
      </c>
      <c r="C16" s="123"/>
      <c r="D16" s="127"/>
      <c r="E16" s="123"/>
    </row>
    <row r="17" spans="1:7">
      <c r="A17" s="123">
        <v>1</v>
      </c>
      <c r="B17" s="123" t="s">
        <v>22</v>
      </c>
      <c r="C17" s="123">
        <v>1</v>
      </c>
      <c r="D17" s="127">
        <f>E4</f>
        <v>334.56</v>
      </c>
      <c r="E17" s="127">
        <f>C17*$D$17*12</f>
        <v>4014.7200000000003</v>
      </c>
      <c r="G17" s="126"/>
    </row>
    <row r="18" spans="1:7">
      <c r="A18" s="123">
        <v>2</v>
      </c>
      <c r="B18" s="123" t="s">
        <v>20</v>
      </c>
      <c r="C18" s="123">
        <v>27</v>
      </c>
      <c r="D18" s="127"/>
      <c r="E18" s="127">
        <f t="shared" ref="E18:E25" si="1">C18*$D$17*12</f>
        <v>108397.44</v>
      </c>
    </row>
    <row r="19" spans="1:7">
      <c r="A19" s="123">
        <v>3</v>
      </c>
      <c r="B19" s="123" t="s">
        <v>24</v>
      </c>
      <c r="C19" s="123">
        <v>1</v>
      </c>
      <c r="D19" s="127"/>
      <c r="E19" s="127">
        <f t="shared" si="1"/>
        <v>4014.7200000000003</v>
      </c>
    </row>
    <row r="20" spans="1:7">
      <c r="A20" s="123">
        <v>4</v>
      </c>
      <c r="B20" s="123" t="s">
        <v>213</v>
      </c>
      <c r="C20" s="123">
        <v>1</v>
      </c>
      <c r="D20" s="127"/>
      <c r="E20" s="127">
        <f t="shared" si="1"/>
        <v>4014.7200000000003</v>
      </c>
    </row>
    <row r="21" spans="1:7">
      <c r="A21" s="123">
        <v>5</v>
      </c>
      <c r="B21" s="123" t="s">
        <v>21</v>
      </c>
      <c r="C21" s="123">
        <v>1</v>
      </c>
      <c r="D21" s="127"/>
      <c r="E21" s="127">
        <f t="shared" si="1"/>
        <v>4014.7200000000003</v>
      </c>
    </row>
    <row r="22" spans="1:7">
      <c r="A22" s="123">
        <v>6</v>
      </c>
      <c r="B22" s="123" t="s">
        <v>23</v>
      </c>
      <c r="C22" s="123">
        <v>19</v>
      </c>
      <c r="D22" s="127"/>
      <c r="E22" s="127">
        <f t="shared" si="1"/>
        <v>76279.680000000008</v>
      </c>
    </row>
    <row r="23" spans="1:7" hidden="1">
      <c r="A23" s="123">
        <v>5</v>
      </c>
      <c r="B23" s="123" t="s">
        <v>24</v>
      </c>
      <c r="C23" s="123">
        <v>0</v>
      </c>
      <c r="D23" s="127"/>
      <c r="E23" s="127">
        <f t="shared" si="1"/>
        <v>0</v>
      </c>
    </row>
    <row r="24" spans="1:7" hidden="1">
      <c r="A24" s="123">
        <v>6</v>
      </c>
      <c r="B24" s="123" t="s">
        <v>242</v>
      </c>
      <c r="C24" s="123">
        <v>0</v>
      </c>
      <c r="D24" s="127"/>
      <c r="E24" s="127">
        <f t="shared" si="1"/>
        <v>0</v>
      </c>
    </row>
    <row r="25" spans="1:7" hidden="1">
      <c r="A25" s="123">
        <v>7</v>
      </c>
      <c r="B25" s="123" t="s">
        <v>205</v>
      </c>
      <c r="C25" s="123">
        <v>0</v>
      </c>
      <c r="D25" s="127"/>
      <c r="E25" s="127">
        <f t="shared" si="1"/>
        <v>0</v>
      </c>
    </row>
    <row r="26" spans="1:7">
      <c r="A26" s="123"/>
      <c r="B26" s="4" t="s">
        <v>427</v>
      </c>
      <c r="C26" s="4">
        <f>SUM(C17:C25)</f>
        <v>50</v>
      </c>
      <c r="D26" s="6"/>
      <c r="E26" s="6">
        <f>SUM(E17:E25)</f>
        <v>200736</v>
      </c>
    </row>
    <row r="27" spans="1:7">
      <c r="C27" s="3">
        <f>C15+C26</f>
        <v>200</v>
      </c>
    </row>
  </sheetData>
  <phoneticPr fontId="4" type="noConversion"/>
  <pageMargins left="0.74803149606299213" right="0.74803149606299213" top="0.98425196850393704" bottom="0.98425196850393704" header="0.51181102362204722" footer="0.51181102362204722"/>
  <pageSetup paperSize="9" orientation="landscape" verticalDpi="0" r:id="rId1"/>
  <headerFooter alignWithMargins="0"/>
</worksheet>
</file>

<file path=xl/worksheets/sheet12.xml><?xml version="1.0" encoding="utf-8"?>
<worksheet xmlns="http://schemas.openxmlformats.org/spreadsheetml/2006/main" xmlns:r="http://schemas.openxmlformats.org/officeDocument/2006/relationships">
  <dimension ref="A1:L637"/>
  <sheetViews>
    <sheetView topLeftCell="A517" zoomScaleNormal="100" workbookViewId="0">
      <selection sqref="A1:G552"/>
    </sheetView>
  </sheetViews>
  <sheetFormatPr defaultRowHeight="15"/>
  <cols>
    <col min="1" max="1" width="4.5703125" style="275" customWidth="1"/>
    <col min="2" max="2" width="6.85546875" style="275" customWidth="1"/>
    <col min="3" max="3" width="7" style="275" customWidth="1"/>
    <col min="4" max="4" width="82" style="275" customWidth="1"/>
    <col min="5" max="5" width="14.28515625" style="275" customWidth="1"/>
    <col min="6" max="6" width="15.7109375" style="298" customWidth="1"/>
    <col min="7" max="7" width="10.7109375" style="275" bestFit="1" customWidth="1"/>
    <col min="8" max="8" width="13.42578125" style="274" customWidth="1"/>
    <col min="9" max="9" width="13.28515625" style="275" bestFit="1" customWidth="1"/>
    <col min="10" max="10" width="10" style="275" bestFit="1" customWidth="1"/>
    <col min="11" max="11" width="10.140625" style="275" bestFit="1" customWidth="1"/>
    <col min="12" max="16384" width="9.140625" style="275"/>
  </cols>
  <sheetData>
    <row r="1" spans="1:7">
      <c r="A1" s="485" t="s">
        <v>763</v>
      </c>
      <c r="B1" s="654"/>
      <c r="C1" s="654"/>
      <c r="D1" s="654"/>
      <c r="E1" s="655"/>
      <c r="F1" s="655"/>
      <c r="G1" s="655"/>
    </row>
    <row r="2" spans="1:7" ht="46.5" customHeight="1">
      <c r="A2" s="276" t="s">
        <v>287</v>
      </c>
      <c r="B2" s="276" t="s">
        <v>406</v>
      </c>
      <c r="C2" s="276" t="s">
        <v>368</v>
      </c>
      <c r="D2" s="276" t="s">
        <v>134</v>
      </c>
      <c r="E2" s="16" t="s">
        <v>687</v>
      </c>
      <c r="F2" s="149" t="s">
        <v>688</v>
      </c>
      <c r="G2" s="277" t="s">
        <v>331</v>
      </c>
    </row>
    <row r="3" spans="1:7" ht="18" customHeight="1">
      <c r="A3" s="656">
        <v>750</v>
      </c>
      <c r="B3" s="656">
        <v>75085</v>
      </c>
      <c r="C3" s="278">
        <v>3020</v>
      </c>
      <c r="D3" s="279" t="s">
        <v>347</v>
      </c>
      <c r="E3" s="280">
        <f>E4</f>
        <v>2660</v>
      </c>
      <c r="F3" s="280">
        <f>F4</f>
        <v>1300</v>
      </c>
      <c r="G3" s="281">
        <f t="shared" ref="G3:G64" si="0">SUM(F3/E3)</f>
        <v>0.48872180451127817</v>
      </c>
    </row>
    <row r="4" spans="1:7" ht="30" customHeight="1">
      <c r="A4" s="657"/>
      <c r="B4" s="657"/>
      <c r="C4" s="282"/>
      <c r="D4" s="283" t="s">
        <v>147</v>
      </c>
      <c r="E4" s="284">
        <f>SUM(CUW!E4)</f>
        <v>2660</v>
      </c>
      <c r="F4" s="284">
        <f>SUM(CUW!F4)</f>
        <v>1300</v>
      </c>
      <c r="G4" s="285">
        <f t="shared" si="0"/>
        <v>0.48872180451127817</v>
      </c>
    </row>
    <row r="5" spans="1:7" ht="18.75" customHeight="1">
      <c r="A5" s="657"/>
      <c r="B5" s="657"/>
      <c r="C5" s="278">
        <v>4010</v>
      </c>
      <c r="D5" s="279" t="s">
        <v>348</v>
      </c>
      <c r="E5" s="280">
        <f>E6+E7</f>
        <v>930100</v>
      </c>
      <c r="F5" s="280">
        <f>F6+F7</f>
        <v>960150</v>
      </c>
      <c r="G5" s="281">
        <f t="shared" si="0"/>
        <v>1.0323083539404365</v>
      </c>
    </row>
    <row r="6" spans="1:7" ht="17.25" customHeight="1">
      <c r="A6" s="657"/>
      <c r="B6" s="657"/>
      <c r="C6" s="286"/>
      <c r="D6" s="283" t="s">
        <v>181</v>
      </c>
      <c r="E6" s="284">
        <f>SUM(CUW!E6)</f>
        <v>907100</v>
      </c>
      <c r="F6" s="284">
        <f>SUM(CUW!F6)</f>
        <v>930750</v>
      </c>
      <c r="G6" s="285">
        <f t="shared" si="0"/>
        <v>1.0260720978943887</v>
      </c>
    </row>
    <row r="7" spans="1:7" ht="17.25" customHeight="1">
      <c r="A7" s="657"/>
      <c r="B7" s="657"/>
      <c r="C7" s="286"/>
      <c r="D7" s="21" t="s">
        <v>850</v>
      </c>
      <c r="E7" s="284">
        <f>SUM(CUW!E7)</f>
        <v>23000</v>
      </c>
      <c r="F7" s="284">
        <f>SUM(CUW!F7)</f>
        <v>29400</v>
      </c>
      <c r="G7" s="285">
        <f t="shared" si="0"/>
        <v>1.2782608695652173</v>
      </c>
    </row>
    <row r="8" spans="1:7" ht="17.25" customHeight="1">
      <c r="A8" s="657"/>
      <c r="B8" s="657"/>
      <c r="C8" s="278">
        <v>4040</v>
      </c>
      <c r="D8" s="279" t="s">
        <v>349</v>
      </c>
      <c r="E8" s="280">
        <f>E9</f>
        <v>73000</v>
      </c>
      <c r="F8" s="280">
        <f>F9</f>
        <v>73000</v>
      </c>
      <c r="G8" s="281">
        <f t="shared" si="0"/>
        <v>1</v>
      </c>
    </row>
    <row r="9" spans="1:7" ht="30" customHeight="1">
      <c r="A9" s="657"/>
      <c r="B9" s="657"/>
      <c r="C9" s="286"/>
      <c r="D9" s="283" t="s">
        <v>209</v>
      </c>
      <c r="E9" s="284">
        <f>SUM(CUW!E9)</f>
        <v>73000</v>
      </c>
      <c r="F9" s="284">
        <f>SUM(CUW!F9)</f>
        <v>73000</v>
      </c>
      <c r="G9" s="285">
        <f t="shared" si="0"/>
        <v>1</v>
      </c>
    </row>
    <row r="10" spans="1:7" ht="20.25" customHeight="1">
      <c r="A10" s="657"/>
      <c r="B10" s="657"/>
      <c r="C10" s="278">
        <v>4110</v>
      </c>
      <c r="D10" s="279" t="s">
        <v>446</v>
      </c>
      <c r="E10" s="280">
        <f>SUM(CUW!E10)</f>
        <v>175040</v>
      </c>
      <c r="F10" s="280">
        <f>SUM(CUW!F10)</f>
        <v>175000</v>
      </c>
      <c r="G10" s="281">
        <f t="shared" si="0"/>
        <v>0.9997714808043876</v>
      </c>
    </row>
    <row r="11" spans="1:7" ht="18.75" customHeight="1">
      <c r="A11" s="657"/>
      <c r="B11" s="657"/>
      <c r="C11" s="278">
        <v>4120</v>
      </c>
      <c r="D11" s="279" t="s">
        <v>301</v>
      </c>
      <c r="E11" s="280">
        <f>SUM(CUW!E11)</f>
        <v>14800</v>
      </c>
      <c r="F11" s="280">
        <f>SUM(CUW!F11)</f>
        <v>13000</v>
      </c>
      <c r="G11" s="281">
        <f t="shared" si="0"/>
        <v>0.8783783783783784</v>
      </c>
    </row>
    <row r="12" spans="1:7" ht="17.25" customHeight="1">
      <c r="A12" s="657"/>
      <c r="B12" s="657"/>
      <c r="C12" s="278">
        <v>4170</v>
      </c>
      <c r="D12" s="279" t="s">
        <v>210</v>
      </c>
      <c r="E12" s="280">
        <f>E13</f>
        <v>2310</v>
      </c>
      <c r="F12" s="280">
        <f>SUM(CUW!F12)</f>
        <v>0</v>
      </c>
      <c r="G12" s="281">
        <f t="shared" si="0"/>
        <v>0</v>
      </c>
    </row>
    <row r="13" spans="1:7" ht="17.25" customHeight="1">
      <c r="A13" s="657"/>
      <c r="B13" s="657"/>
      <c r="C13" s="286"/>
      <c r="D13" s="21" t="s">
        <v>748</v>
      </c>
      <c r="E13" s="284">
        <f>SUM(CUW!E13)</f>
        <v>2310</v>
      </c>
      <c r="F13" s="284">
        <f>SUM(CUW!F13)</f>
        <v>0</v>
      </c>
      <c r="G13" s="285">
        <f t="shared" si="0"/>
        <v>0</v>
      </c>
    </row>
    <row r="14" spans="1:7" ht="18.75" customHeight="1">
      <c r="A14" s="657"/>
      <c r="B14" s="657"/>
      <c r="C14" s="278">
        <v>4210</v>
      </c>
      <c r="D14" s="279" t="s">
        <v>319</v>
      </c>
      <c r="E14" s="280">
        <f>E15</f>
        <v>26000</v>
      </c>
      <c r="F14" s="280">
        <f>F15</f>
        <v>25000</v>
      </c>
      <c r="G14" s="281">
        <f t="shared" si="0"/>
        <v>0.96153846153846156</v>
      </c>
    </row>
    <row r="15" spans="1:7" ht="30" customHeight="1">
      <c r="A15" s="657"/>
      <c r="B15" s="657"/>
      <c r="C15" s="286"/>
      <c r="D15" s="21" t="s">
        <v>749</v>
      </c>
      <c r="E15" s="284">
        <f>SUM(CUW!E15)</f>
        <v>26000</v>
      </c>
      <c r="F15" s="284">
        <f>SUM(CUW!F15)</f>
        <v>25000</v>
      </c>
      <c r="G15" s="285">
        <f t="shared" si="0"/>
        <v>0.96153846153846156</v>
      </c>
    </row>
    <row r="16" spans="1:7" ht="16.5" customHeight="1">
      <c r="A16" s="657"/>
      <c r="B16" s="657"/>
      <c r="C16" s="278">
        <v>4220</v>
      </c>
      <c r="D16" s="279" t="s">
        <v>492</v>
      </c>
      <c r="E16" s="280">
        <f>E17</f>
        <v>200</v>
      </c>
      <c r="F16" s="280">
        <f>F17</f>
        <v>300</v>
      </c>
      <c r="G16" s="281">
        <f t="shared" si="0"/>
        <v>1.5</v>
      </c>
    </row>
    <row r="17" spans="1:7" ht="18" customHeight="1">
      <c r="A17" s="657"/>
      <c r="B17" s="657"/>
      <c r="C17" s="286"/>
      <c r="D17" s="283" t="s">
        <v>529</v>
      </c>
      <c r="E17" s="284">
        <f>CUW!E16</f>
        <v>200</v>
      </c>
      <c r="F17" s="284">
        <f>CUW!F16</f>
        <v>300</v>
      </c>
      <c r="G17" s="285">
        <f t="shared" si="0"/>
        <v>1.5</v>
      </c>
    </row>
    <row r="18" spans="1:7" ht="21" customHeight="1">
      <c r="A18" s="657"/>
      <c r="B18" s="657"/>
      <c r="C18" s="278">
        <v>4270</v>
      </c>
      <c r="D18" s="279" t="s">
        <v>238</v>
      </c>
      <c r="E18" s="280">
        <f>E19</f>
        <v>6500</v>
      </c>
      <c r="F18" s="280">
        <f>F19</f>
        <v>6500</v>
      </c>
      <c r="G18" s="281">
        <f t="shared" si="0"/>
        <v>1</v>
      </c>
    </row>
    <row r="19" spans="1:7" ht="21" customHeight="1">
      <c r="A19" s="657"/>
      <c r="B19" s="657"/>
      <c r="C19" s="286"/>
      <c r="D19" s="283" t="s">
        <v>553</v>
      </c>
      <c r="E19" s="284">
        <f>SUM(CUW!E19)</f>
        <v>6500</v>
      </c>
      <c r="F19" s="284">
        <f>SUM(CUW!F19)</f>
        <v>6500</v>
      </c>
      <c r="G19" s="285">
        <f t="shared" si="0"/>
        <v>1</v>
      </c>
    </row>
    <row r="20" spans="1:7" ht="18.75" customHeight="1">
      <c r="A20" s="657"/>
      <c r="B20" s="657"/>
      <c r="C20" s="278">
        <v>4280</v>
      </c>
      <c r="D20" s="279" t="s">
        <v>124</v>
      </c>
      <c r="E20" s="280">
        <f>E21</f>
        <v>1100</v>
      </c>
      <c r="F20" s="280">
        <f>F21</f>
        <v>600</v>
      </c>
      <c r="G20" s="281">
        <f t="shared" si="0"/>
        <v>0.54545454545454541</v>
      </c>
    </row>
    <row r="21" spans="1:7" ht="30.75" customHeight="1">
      <c r="A21" s="657"/>
      <c r="B21" s="657"/>
      <c r="C21" s="286"/>
      <c r="D21" s="283" t="s">
        <v>206</v>
      </c>
      <c r="E21" s="284">
        <f>SUM(CUW!E21)</f>
        <v>1100</v>
      </c>
      <c r="F21" s="284">
        <f>SUM(CUW!F21)</f>
        <v>600</v>
      </c>
      <c r="G21" s="285">
        <f t="shared" si="0"/>
        <v>0.54545454545454541</v>
      </c>
    </row>
    <row r="22" spans="1:7" ht="20.25" customHeight="1">
      <c r="A22" s="657"/>
      <c r="B22" s="657"/>
      <c r="C22" s="278">
        <v>4300</v>
      </c>
      <c r="D22" s="279" t="s">
        <v>100</v>
      </c>
      <c r="E22" s="280">
        <f>E23</f>
        <v>39290</v>
      </c>
      <c r="F22" s="280">
        <f>F23</f>
        <v>36500</v>
      </c>
      <c r="G22" s="281">
        <f t="shared" si="0"/>
        <v>0.92898956477475181</v>
      </c>
    </row>
    <row r="23" spans="1:7" ht="28.5" customHeight="1">
      <c r="A23" s="657"/>
      <c r="B23" s="657"/>
      <c r="C23" s="286"/>
      <c r="D23" s="21" t="s">
        <v>849</v>
      </c>
      <c r="E23" s="284">
        <f>SUM(CUW!E23)</f>
        <v>39290</v>
      </c>
      <c r="F23" s="284">
        <f>SUM(CUW!F23)</f>
        <v>36500</v>
      </c>
      <c r="G23" s="285">
        <f t="shared" si="0"/>
        <v>0.92898956477475181</v>
      </c>
    </row>
    <row r="24" spans="1:7" ht="22.9" customHeight="1">
      <c r="A24" s="657"/>
      <c r="B24" s="657"/>
      <c r="C24" s="278">
        <v>4360</v>
      </c>
      <c r="D24" s="279" t="s">
        <v>461</v>
      </c>
      <c r="E24" s="280">
        <f>E25</f>
        <v>7150</v>
      </c>
      <c r="F24" s="280">
        <f>F25</f>
        <v>5500</v>
      </c>
      <c r="G24" s="281">
        <f t="shared" si="0"/>
        <v>0.76923076923076927</v>
      </c>
    </row>
    <row r="25" spans="1:7" ht="18" customHeight="1">
      <c r="A25" s="657"/>
      <c r="B25" s="657"/>
      <c r="C25" s="286"/>
      <c r="D25" s="283" t="s">
        <v>392</v>
      </c>
      <c r="E25" s="284">
        <f>SUM(CUW!E25)</f>
        <v>7150</v>
      </c>
      <c r="F25" s="284">
        <f>SUM(CUW!F25)</f>
        <v>5500</v>
      </c>
      <c r="G25" s="285">
        <f t="shared" si="0"/>
        <v>0.76923076923076927</v>
      </c>
    </row>
    <row r="26" spans="1:7" ht="19.5" customHeight="1">
      <c r="A26" s="657"/>
      <c r="B26" s="657"/>
      <c r="C26" s="278">
        <v>4410</v>
      </c>
      <c r="D26" s="279" t="s">
        <v>203</v>
      </c>
      <c r="E26" s="280">
        <f>E27</f>
        <v>4600</v>
      </c>
      <c r="F26" s="280">
        <f>F27</f>
        <v>5000</v>
      </c>
      <c r="G26" s="281">
        <f t="shared" si="0"/>
        <v>1.0869565217391304</v>
      </c>
    </row>
    <row r="27" spans="1:7" ht="28.5" customHeight="1">
      <c r="A27" s="657"/>
      <c r="B27" s="657"/>
      <c r="C27" s="286"/>
      <c r="D27" s="283" t="s">
        <v>221</v>
      </c>
      <c r="E27" s="284">
        <f>SUM(CUW!E27)</f>
        <v>4600</v>
      </c>
      <c r="F27" s="284">
        <f>SUM(CUW!F27)</f>
        <v>5000</v>
      </c>
      <c r="G27" s="285">
        <f t="shared" si="0"/>
        <v>1.0869565217391304</v>
      </c>
    </row>
    <row r="28" spans="1:7" ht="19.5" customHeight="1">
      <c r="A28" s="657"/>
      <c r="B28" s="657"/>
      <c r="C28" s="278">
        <v>4430</v>
      </c>
      <c r="D28" s="279" t="s">
        <v>413</v>
      </c>
      <c r="E28" s="280">
        <f>E29</f>
        <v>2300</v>
      </c>
      <c r="F28" s="280">
        <f>F29</f>
        <v>2300</v>
      </c>
      <c r="G28" s="281">
        <f t="shared" si="0"/>
        <v>1</v>
      </c>
    </row>
    <row r="29" spans="1:7" ht="20.25" customHeight="1">
      <c r="A29" s="657"/>
      <c r="B29" s="657"/>
      <c r="C29" s="286"/>
      <c r="D29" s="283" t="s">
        <v>356</v>
      </c>
      <c r="E29" s="284">
        <f>SUM(CUW!E29)</f>
        <v>2300</v>
      </c>
      <c r="F29" s="284">
        <f>SUM(CUW!F29)</f>
        <v>2300</v>
      </c>
      <c r="G29" s="285">
        <f t="shared" si="0"/>
        <v>1</v>
      </c>
    </row>
    <row r="30" spans="1:7" ht="18.75" customHeight="1">
      <c r="A30" s="657"/>
      <c r="B30" s="657"/>
      <c r="C30" s="278">
        <v>4440</v>
      </c>
      <c r="D30" s="279" t="s">
        <v>317</v>
      </c>
      <c r="E30" s="280">
        <f>E31</f>
        <v>14030</v>
      </c>
      <c r="F30" s="280">
        <f>F31</f>
        <v>14030</v>
      </c>
      <c r="G30" s="281">
        <f t="shared" si="0"/>
        <v>1</v>
      </c>
    </row>
    <row r="31" spans="1:7" ht="18.75" customHeight="1">
      <c r="A31" s="657"/>
      <c r="B31" s="657"/>
      <c r="C31" s="286"/>
      <c r="D31" s="283" t="s">
        <v>340</v>
      </c>
      <c r="E31" s="284">
        <f>SUM(CUW!E31)</f>
        <v>14030</v>
      </c>
      <c r="F31" s="284">
        <f>SUM(CUW!F31)</f>
        <v>14030</v>
      </c>
      <c r="G31" s="285">
        <f t="shared" si="0"/>
        <v>1</v>
      </c>
    </row>
    <row r="32" spans="1:7" ht="21" customHeight="1">
      <c r="A32" s="657"/>
      <c r="B32" s="657"/>
      <c r="C32" s="278">
        <v>4700</v>
      </c>
      <c r="D32" s="279" t="s">
        <v>243</v>
      </c>
      <c r="E32" s="280">
        <f>E33</f>
        <v>12000</v>
      </c>
      <c r="F32" s="280">
        <f>F33</f>
        <v>12000</v>
      </c>
      <c r="G32" s="281">
        <f t="shared" si="0"/>
        <v>1</v>
      </c>
    </row>
    <row r="33" spans="1:7" ht="22.5" customHeight="1">
      <c r="A33" s="657"/>
      <c r="B33" s="657"/>
      <c r="C33" s="286"/>
      <c r="D33" s="283" t="s">
        <v>84</v>
      </c>
      <c r="E33" s="284">
        <f>SUM(CUW!E33)</f>
        <v>12000</v>
      </c>
      <c r="F33" s="284">
        <f>SUM(CUW!F33)</f>
        <v>12000</v>
      </c>
      <c r="G33" s="285">
        <f t="shared" si="0"/>
        <v>1</v>
      </c>
    </row>
    <row r="34" spans="1:7" ht="22.5" hidden="1" customHeight="1">
      <c r="A34" s="657"/>
      <c r="B34" s="657"/>
      <c r="C34" s="287">
        <v>6060</v>
      </c>
      <c r="D34" s="288" t="str">
        <f>CUW!D34</f>
        <v xml:space="preserve">Wydatki na zakupy inwestycyjne jednostek budżetowych    </v>
      </c>
      <c r="E34" s="280">
        <f>E35</f>
        <v>0</v>
      </c>
      <c r="F34" s="280">
        <f>F35</f>
        <v>0</v>
      </c>
      <c r="G34" s="285" t="e">
        <f t="shared" si="0"/>
        <v>#DIV/0!</v>
      </c>
    </row>
    <row r="35" spans="1:7" ht="22.5" hidden="1" customHeight="1">
      <c r="A35" s="658"/>
      <c r="B35" s="658"/>
      <c r="C35" s="289"/>
      <c r="D35" s="290" t="str">
        <f>CUW!D35</f>
        <v>zakup samochodu służbowego dla placówek oświatowych</v>
      </c>
      <c r="E35" s="284">
        <f>CUW!E34</f>
        <v>0</v>
      </c>
      <c r="F35" s="284">
        <f>CUW!F34</f>
        <v>0</v>
      </c>
      <c r="G35" s="285" t="e">
        <f t="shared" si="0"/>
        <v>#DIV/0!</v>
      </c>
    </row>
    <row r="36" spans="1:7" ht="20.25" customHeight="1">
      <c r="A36" s="659" t="s">
        <v>482</v>
      </c>
      <c r="B36" s="660"/>
      <c r="C36" s="660"/>
      <c r="D36" s="661"/>
      <c r="E36" s="291">
        <f>SUM(E3+E5+E8+E10+E11+E12+E14+E18+E20+E22++E24+E26+E28+E30+E32+E16+E34)</f>
        <v>1311080</v>
      </c>
      <c r="F36" s="291">
        <f>SUM(F3+F5+F8+F10+F11+F12+F14+F18+F20+F22++F24+F26+F28+F30+F32+F16+F34)</f>
        <v>1330180</v>
      </c>
      <c r="G36" s="292">
        <f t="shared" si="0"/>
        <v>1.014568142294902</v>
      </c>
    </row>
    <row r="37" spans="1:7">
      <c r="A37" s="657">
        <v>801</v>
      </c>
      <c r="B37" s="657">
        <v>80101</v>
      </c>
      <c r="C37" s="278">
        <v>3020</v>
      </c>
      <c r="D37" s="279" t="s">
        <v>347</v>
      </c>
      <c r="E37" s="280">
        <f>SUM(E38:E43)</f>
        <v>850738</v>
      </c>
      <c r="F37" s="280">
        <f>SUM(F38:F43)</f>
        <v>695560</v>
      </c>
      <c r="G37" s="281">
        <f t="shared" si="0"/>
        <v>0.81759601663496873</v>
      </c>
    </row>
    <row r="38" spans="1:7" ht="30">
      <c r="A38" s="657"/>
      <c r="B38" s="657"/>
      <c r="C38" s="286"/>
      <c r="D38" s="21" t="s">
        <v>768</v>
      </c>
      <c r="E38" s="284">
        <f>SUM('ZSO Kom'!E4)</f>
        <v>292872</v>
      </c>
      <c r="F38" s="284">
        <f>SUM('ZSO Kom'!F3)</f>
        <v>229200</v>
      </c>
      <c r="G38" s="285">
        <f t="shared" si="0"/>
        <v>0.78259444398918299</v>
      </c>
    </row>
    <row r="39" spans="1:7" hidden="1">
      <c r="A39" s="657"/>
      <c r="B39" s="657"/>
      <c r="C39" s="286"/>
      <c r="D39" s="283" t="str">
        <f>'ZSO Kom'!D5</f>
        <v xml:space="preserve"> odzież ochronna, zakup okularów</v>
      </c>
      <c r="E39" s="284">
        <f>SUM('ZSO Kom'!E5)</f>
        <v>5790</v>
      </c>
      <c r="F39" s="284">
        <v>0</v>
      </c>
      <c r="G39" s="285">
        <f t="shared" si="0"/>
        <v>0</v>
      </c>
    </row>
    <row r="40" spans="1:7" ht="30">
      <c r="A40" s="657"/>
      <c r="B40" s="657"/>
      <c r="C40" s="286"/>
      <c r="D40" s="21" t="s">
        <v>769</v>
      </c>
      <c r="E40" s="284">
        <f>SUM('ZS Mich'!E4)</f>
        <v>308300</v>
      </c>
      <c r="F40" s="284">
        <f>SUM('ZS Mich'!F3)</f>
        <v>272860</v>
      </c>
      <c r="G40" s="285">
        <f t="shared" si="0"/>
        <v>0.88504703211157965</v>
      </c>
    </row>
    <row r="41" spans="1:7" hidden="1">
      <c r="A41" s="657"/>
      <c r="B41" s="657"/>
      <c r="C41" s="286"/>
      <c r="D41" s="283" t="str">
        <f>'ZS Mich'!D5</f>
        <v>odzież ochronna, napoje dla pracowników</v>
      </c>
      <c r="E41" s="284">
        <f>SUM('ZS Mich'!E5)</f>
        <v>5100</v>
      </c>
      <c r="F41" s="284">
        <v>0</v>
      </c>
      <c r="G41" s="285">
        <f t="shared" si="0"/>
        <v>0</v>
      </c>
    </row>
    <row r="42" spans="1:7" ht="30">
      <c r="A42" s="657"/>
      <c r="B42" s="657"/>
      <c r="C42" s="286"/>
      <c r="D42" s="21" t="s">
        <v>770</v>
      </c>
      <c r="E42" s="284">
        <f>SUM('ZSP NW'!E4)</f>
        <v>237176</v>
      </c>
      <c r="F42" s="284">
        <f>SUM('ZSP NW'!F3)</f>
        <v>193500</v>
      </c>
      <c r="G42" s="285">
        <f t="shared" si="0"/>
        <v>0.81584983303538305</v>
      </c>
    </row>
    <row r="43" spans="1:7" hidden="1">
      <c r="A43" s="657"/>
      <c r="B43" s="657"/>
      <c r="C43" s="286"/>
      <c r="D43" s="283" t="str">
        <f>'ZSP NW'!D5</f>
        <v xml:space="preserve"> odzież ochronna</v>
      </c>
      <c r="E43" s="284">
        <f>SUM('ZSP NW'!E5)</f>
        <v>1500</v>
      </c>
      <c r="F43" s="284">
        <v>0</v>
      </c>
      <c r="G43" s="285">
        <f t="shared" si="0"/>
        <v>0</v>
      </c>
    </row>
    <row r="44" spans="1:7" ht="17.25" customHeight="1">
      <c r="A44" s="657"/>
      <c r="B44" s="657"/>
      <c r="C44" s="278">
        <v>4010</v>
      </c>
      <c r="D44" s="279" t="s">
        <v>348</v>
      </c>
      <c r="E44" s="280">
        <f>SUM(E45:E50)</f>
        <v>9556231</v>
      </c>
      <c r="F44" s="280">
        <f>SUM(F45:F50)</f>
        <v>12775000</v>
      </c>
      <c r="G44" s="281">
        <f t="shared" si="0"/>
        <v>1.3368241098399567</v>
      </c>
    </row>
    <row r="45" spans="1:7" ht="30" customHeight="1">
      <c r="A45" s="657"/>
      <c r="B45" s="657"/>
      <c r="C45" s="286"/>
      <c r="D45" s="21" t="s">
        <v>771</v>
      </c>
      <c r="E45" s="284">
        <f>SUM('ZSO Kom'!E7)</f>
        <v>3312879</v>
      </c>
      <c r="F45" s="284">
        <f>SUM('ZSO Kom'!F7)</f>
        <v>4171300</v>
      </c>
      <c r="G45" s="285">
        <f t="shared" si="0"/>
        <v>1.2591163154464742</v>
      </c>
    </row>
    <row r="46" spans="1:7" ht="18" customHeight="1">
      <c r="A46" s="657"/>
      <c r="B46" s="657"/>
      <c r="C46" s="286"/>
      <c r="D46" s="283" t="str">
        <f>'ZSO Kom'!D8</f>
        <v xml:space="preserve"> nagrody jubileuszowe (7), odprawy emerytalne (7)</v>
      </c>
      <c r="E46" s="284">
        <f>SUM('ZSO Kom'!E8)</f>
        <v>41100</v>
      </c>
      <c r="F46" s="284">
        <f>SUM('ZSO Kom'!F8)</f>
        <v>185700</v>
      </c>
      <c r="G46" s="285">
        <f t="shared" si="0"/>
        <v>4.5182481751824817</v>
      </c>
    </row>
    <row r="47" spans="1:7" ht="29.25" customHeight="1">
      <c r="A47" s="657"/>
      <c r="B47" s="657"/>
      <c r="C47" s="286"/>
      <c r="D47" s="21" t="s">
        <v>772</v>
      </c>
      <c r="E47" s="284">
        <f>SUM('ZS Mich'!E7)</f>
        <v>3636100</v>
      </c>
      <c r="F47" s="284">
        <f>SUM('ZS Mich'!F7)</f>
        <v>4720200</v>
      </c>
      <c r="G47" s="285">
        <f t="shared" si="0"/>
        <v>1.2981491158108962</v>
      </c>
    </row>
    <row r="48" spans="1:7" ht="18.75" customHeight="1">
      <c r="A48" s="657"/>
      <c r="B48" s="657"/>
      <c r="C48" s="286"/>
      <c r="D48" s="283" t="str">
        <f>'ZS Mich'!D8</f>
        <v xml:space="preserve"> nagrody jubileuszowe (15), odprawy emerytalne (2)</v>
      </c>
      <c r="E48" s="284">
        <f>SUM('ZS Mich'!E8)</f>
        <v>45000</v>
      </c>
      <c r="F48" s="284">
        <f>SUM('ZS Mich'!F8)</f>
        <v>112800</v>
      </c>
      <c r="G48" s="285">
        <f t="shared" si="0"/>
        <v>2.5066666666666668</v>
      </c>
    </row>
    <row r="49" spans="1:7" ht="33.75" customHeight="1">
      <c r="A49" s="657"/>
      <c r="B49" s="657"/>
      <c r="C49" s="286"/>
      <c r="D49" s="29" t="s">
        <v>773</v>
      </c>
      <c r="E49" s="284">
        <f>SUM('ZSP NW'!E7)</f>
        <v>2482852</v>
      </c>
      <c r="F49" s="284">
        <f>SUM('ZSP NW'!F7)</f>
        <v>3449400</v>
      </c>
      <c r="G49" s="285">
        <f t="shared" si="0"/>
        <v>1.3892894139481531</v>
      </c>
    </row>
    <row r="50" spans="1:7" ht="16.5" customHeight="1">
      <c r="A50" s="657"/>
      <c r="B50" s="657"/>
      <c r="C50" s="286"/>
      <c r="D50" s="296" t="str">
        <f>'ZSP NW'!D8</f>
        <v>nagrody jubileuszowe (7), odprawy emerytalne  (7)</v>
      </c>
      <c r="E50" s="284">
        <f>'ZSP NW'!E8</f>
        <v>38300</v>
      </c>
      <c r="F50" s="284">
        <f>'ZSP NW'!F8</f>
        <v>135600</v>
      </c>
      <c r="G50" s="285">
        <f t="shared" si="0"/>
        <v>3.5404699738903394</v>
      </c>
    </row>
    <row r="51" spans="1:7" ht="17.25" customHeight="1">
      <c r="A51" s="657"/>
      <c r="B51" s="657"/>
      <c r="C51" s="278">
        <v>4040</v>
      </c>
      <c r="D51" s="279" t="s">
        <v>349</v>
      </c>
      <c r="E51" s="280">
        <f>SUM(E52:E54)</f>
        <v>695000</v>
      </c>
      <c r="F51" s="280">
        <f>SUM(F52:F54)</f>
        <v>888000</v>
      </c>
      <c r="G51" s="281">
        <f t="shared" si="0"/>
        <v>1.2776978417266187</v>
      </c>
    </row>
    <row r="52" spans="1:7" ht="29.25" customHeight="1">
      <c r="A52" s="657"/>
      <c r="B52" s="657"/>
      <c r="C52" s="286"/>
      <c r="D52" s="283" t="s">
        <v>146</v>
      </c>
      <c r="E52" s="284">
        <f>SUM('ZSO Kom'!E9)</f>
        <v>248000</v>
      </c>
      <c r="F52" s="284">
        <f>SUM('ZSO Kom'!F9)</f>
        <v>310000</v>
      </c>
      <c r="G52" s="285">
        <f t="shared" si="0"/>
        <v>1.25</v>
      </c>
    </row>
    <row r="53" spans="1:7" ht="28.5" customHeight="1">
      <c r="A53" s="657"/>
      <c r="B53" s="657"/>
      <c r="C53" s="286"/>
      <c r="D53" s="283" t="s">
        <v>285</v>
      </c>
      <c r="E53" s="284">
        <f>SUM('ZS Mich'!E9)</f>
        <v>269000</v>
      </c>
      <c r="F53" s="284">
        <f>SUM('ZS Mich'!F9)</f>
        <v>335000</v>
      </c>
      <c r="G53" s="285">
        <f t="shared" si="0"/>
        <v>1.245353159851301</v>
      </c>
    </row>
    <row r="54" spans="1:7" ht="30.75" customHeight="1">
      <c r="A54" s="657"/>
      <c r="B54" s="657"/>
      <c r="C54" s="286"/>
      <c r="D54" s="283" t="s">
        <v>344</v>
      </c>
      <c r="E54" s="284">
        <f>SUM('ZSP NW'!E9)</f>
        <v>178000</v>
      </c>
      <c r="F54" s="284">
        <f>SUM('ZSP NW'!F9)</f>
        <v>243000</v>
      </c>
      <c r="G54" s="285">
        <f t="shared" si="0"/>
        <v>1.3651685393258426</v>
      </c>
    </row>
    <row r="55" spans="1:7" ht="16.5" customHeight="1">
      <c r="A55" s="657"/>
      <c r="B55" s="657"/>
      <c r="C55" s="278">
        <v>4110</v>
      </c>
      <c r="D55" s="279" t="s">
        <v>446</v>
      </c>
      <c r="E55" s="280">
        <f>SUM(E56:E58)</f>
        <v>1975099</v>
      </c>
      <c r="F55" s="280">
        <f>SUM(F56:F58)</f>
        <v>2527500</v>
      </c>
      <c r="G55" s="281">
        <f t="shared" si="0"/>
        <v>1.2796826893234212</v>
      </c>
    </row>
    <row r="56" spans="1:7" ht="18" customHeight="1">
      <c r="A56" s="657"/>
      <c r="B56" s="657"/>
      <c r="C56" s="286"/>
      <c r="D56" s="283" t="s">
        <v>447</v>
      </c>
      <c r="E56" s="284">
        <f>SUM('ZSO Kom'!E10)</f>
        <v>703150</v>
      </c>
      <c r="F56" s="284">
        <f>SUM('ZSO Kom'!F10)</f>
        <v>842000</v>
      </c>
      <c r="G56" s="285">
        <f t="shared" si="0"/>
        <v>1.1974685344521083</v>
      </c>
    </row>
    <row r="57" spans="1:7" ht="18.75" customHeight="1">
      <c r="A57" s="657"/>
      <c r="B57" s="657"/>
      <c r="C57" s="286"/>
      <c r="D57" s="283" t="s">
        <v>448</v>
      </c>
      <c r="E57" s="284">
        <f>SUM('ZS Mich'!E10)</f>
        <v>751655</v>
      </c>
      <c r="F57" s="284">
        <f>SUM('ZS Mich'!F10)</f>
        <v>967500</v>
      </c>
      <c r="G57" s="285">
        <f t="shared" si="0"/>
        <v>1.2871596676666821</v>
      </c>
    </row>
    <row r="58" spans="1:7" ht="16.5" customHeight="1">
      <c r="A58" s="657"/>
      <c r="B58" s="657"/>
      <c r="C58" s="286"/>
      <c r="D58" s="283" t="s">
        <v>258</v>
      </c>
      <c r="E58" s="284">
        <f>SUM('ZSP NW'!E10)</f>
        <v>520294</v>
      </c>
      <c r="F58" s="284">
        <f>SUM('ZSP NW'!F10)</f>
        <v>718000</v>
      </c>
      <c r="G58" s="285">
        <f t="shared" si="0"/>
        <v>1.3799890062157165</v>
      </c>
    </row>
    <row r="59" spans="1:7" ht="17.25" customHeight="1">
      <c r="A59" s="657"/>
      <c r="B59" s="657"/>
      <c r="C59" s="278">
        <v>4120</v>
      </c>
      <c r="D59" s="279" t="s">
        <v>301</v>
      </c>
      <c r="E59" s="280">
        <f>SUM(E60:E62)</f>
        <v>262269</v>
      </c>
      <c r="F59" s="280">
        <f>SUM(F60:F62)</f>
        <v>326900</v>
      </c>
      <c r="G59" s="281">
        <f t="shared" si="0"/>
        <v>1.2464301919022074</v>
      </c>
    </row>
    <row r="60" spans="1:7" ht="15.75" customHeight="1">
      <c r="A60" s="657"/>
      <c r="B60" s="657"/>
      <c r="C60" s="286"/>
      <c r="D60" s="283" t="s">
        <v>268</v>
      </c>
      <c r="E60" s="284">
        <f>SUM('ZSO Kom'!E11)</f>
        <v>94626</v>
      </c>
      <c r="F60" s="284">
        <f>SUM('ZSO Kom'!F11)</f>
        <v>108200</v>
      </c>
      <c r="G60" s="285">
        <f t="shared" si="0"/>
        <v>1.1434489463783739</v>
      </c>
    </row>
    <row r="61" spans="1:7" ht="15.75" customHeight="1">
      <c r="A61" s="657"/>
      <c r="B61" s="657"/>
      <c r="C61" s="286"/>
      <c r="D61" s="283" t="s">
        <v>269</v>
      </c>
      <c r="E61" s="284">
        <f>SUM('ZS Mich'!E11)</f>
        <v>100758</v>
      </c>
      <c r="F61" s="284">
        <f>SUM('ZS Mich'!F11)</f>
        <v>125400</v>
      </c>
      <c r="G61" s="285">
        <f t="shared" si="0"/>
        <v>1.244566188292741</v>
      </c>
    </row>
    <row r="62" spans="1:7" ht="17.25" customHeight="1">
      <c r="A62" s="657"/>
      <c r="B62" s="657"/>
      <c r="C62" s="286"/>
      <c r="D62" s="283" t="s">
        <v>270</v>
      </c>
      <c r="E62" s="284">
        <f>SUM('ZSP NW'!E11)</f>
        <v>66885</v>
      </c>
      <c r="F62" s="284">
        <f>SUM('ZSP NW'!F11)</f>
        <v>93300</v>
      </c>
      <c r="G62" s="285">
        <f t="shared" si="0"/>
        <v>1.3949315990132316</v>
      </c>
    </row>
    <row r="63" spans="1:7" ht="16.5" customHeight="1">
      <c r="A63" s="657"/>
      <c r="B63" s="657"/>
      <c r="C63" s="278">
        <v>4140</v>
      </c>
      <c r="D63" s="279" t="s">
        <v>288</v>
      </c>
      <c r="E63" s="280">
        <f>SUM(E64:E66)</f>
        <v>24500</v>
      </c>
      <c r="F63" s="280">
        <f>SUM(F64:F66)</f>
        <v>0</v>
      </c>
      <c r="G63" s="281">
        <f t="shared" si="0"/>
        <v>0</v>
      </c>
    </row>
    <row r="64" spans="1:7" ht="16.5" customHeight="1">
      <c r="A64" s="657"/>
      <c r="B64" s="657"/>
      <c r="C64" s="286"/>
      <c r="D64" s="283" t="s">
        <v>271</v>
      </c>
      <c r="E64" s="284">
        <f>SUM('ZSO Kom'!E12)</f>
        <v>5000</v>
      </c>
      <c r="F64" s="284">
        <f>SUM('ZSO Kom'!F12)</f>
        <v>0</v>
      </c>
      <c r="G64" s="285">
        <f t="shared" si="0"/>
        <v>0</v>
      </c>
    </row>
    <row r="65" spans="1:9" ht="18.75" customHeight="1">
      <c r="A65" s="657"/>
      <c r="B65" s="657"/>
      <c r="C65" s="286"/>
      <c r="D65" s="283" t="s">
        <v>272</v>
      </c>
      <c r="E65" s="284">
        <f>SUM('ZS Mich'!E12)</f>
        <v>5000</v>
      </c>
      <c r="F65" s="284">
        <f>SUM('ZS Mich'!F12)</f>
        <v>0</v>
      </c>
      <c r="G65" s="285">
        <f t="shared" ref="G65:G131" si="1">SUM(F65/E65)</f>
        <v>0</v>
      </c>
    </row>
    <row r="66" spans="1:9" ht="17.25" customHeight="1">
      <c r="A66" s="657"/>
      <c r="B66" s="657"/>
      <c r="C66" s="286"/>
      <c r="D66" s="283" t="s">
        <v>273</v>
      </c>
      <c r="E66" s="284">
        <f>SUM('ZSP NW'!E12)</f>
        <v>14500</v>
      </c>
      <c r="F66" s="284">
        <f>SUM('ZSP NW'!F12)</f>
        <v>0</v>
      </c>
      <c r="G66" s="285">
        <f t="shared" si="1"/>
        <v>0</v>
      </c>
    </row>
    <row r="67" spans="1:9" ht="18.75" customHeight="1">
      <c r="A67" s="657"/>
      <c r="B67" s="657"/>
      <c r="C67" s="278">
        <v>4170</v>
      </c>
      <c r="D67" s="279" t="s">
        <v>235</v>
      </c>
      <c r="E67" s="280">
        <f>SUM(E68:E70)</f>
        <v>76500</v>
      </c>
      <c r="F67" s="280">
        <f>SUM(F68:F70)</f>
        <v>76000</v>
      </c>
      <c r="G67" s="281">
        <f t="shared" si="1"/>
        <v>0.99346405228758172</v>
      </c>
    </row>
    <row r="68" spans="1:9" ht="30.75" customHeight="1">
      <c r="A68" s="657"/>
      <c r="B68" s="657"/>
      <c r="C68" s="286"/>
      <c r="D68" s="283" t="s">
        <v>218</v>
      </c>
      <c r="E68" s="284">
        <f>SUM('ZSO Kom'!E14)</f>
        <v>34500</v>
      </c>
      <c r="F68" s="284">
        <f>SUM('ZSO Kom'!F14)</f>
        <v>30000</v>
      </c>
      <c r="G68" s="285">
        <f t="shared" si="1"/>
        <v>0.86956521739130432</v>
      </c>
    </row>
    <row r="69" spans="1:9" ht="31.5" customHeight="1">
      <c r="A69" s="657"/>
      <c r="B69" s="657"/>
      <c r="C69" s="286"/>
      <c r="D69" s="297" t="s">
        <v>629</v>
      </c>
      <c r="E69" s="284">
        <f>SUM('ZS Mich'!E14)</f>
        <v>42000</v>
      </c>
      <c r="F69" s="284">
        <f>'ZS Mich'!F14</f>
        <v>46000</v>
      </c>
      <c r="G69" s="285">
        <f t="shared" si="1"/>
        <v>1.0952380952380953</v>
      </c>
    </row>
    <row r="70" spans="1:9" ht="46.15" hidden="1" customHeight="1">
      <c r="A70" s="657"/>
      <c r="B70" s="657"/>
      <c r="C70" s="286"/>
      <c r="D70" s="297" t="s">
        <v>219</v>
      </c>
      <c r="E70" s="284">
        <f>SUM('ZSP NW'!E14)</f>
        <v>0</v>
      </c>
      <c r="F70" s="284">
        <f>SUM('ZSP NW'!F14)</f>
        <v>0</v>
      </c>
      <c r="G70" s="285" t="e">
        <f t="shared" si="1"/>
        <v>#DIV/0!</v>
      </c>
    </row>
    <row r="71" spans="1:9" ht="20.25" customHeight="1">
      <c r="A71" s="657"/>
      <c r="B71" s="657"/>
      <c r="C71" s="278">
        <v>4190</v>
      </c>
      <c r="D71" s="293" t="s">
        <v>452</v>
      </c>
      <c r="E71" s="280">
        <f>E72+E73+E74</f>
        <v>4200</v>
      </c>
      <c r="F71" s="280">
        <f>F72+F73+F74</f>
        <v>5000</v>
      </c>
      <c r="G71" s="281">
        <f t="shared" si="1"/>
        <v>1.1904761904761905</v>
      </c>
    </row>
    <row r="72" spans="1:9" ht="17.25" customHeight="1">
      <c r="A72" s="657"/>
      <c r="B72" s="657"/>
      <c r="C72" s="286"/>
      <c r="D72" s="283" t="s">
        <v>453</v>
      </c>
      <c r="E72" s="284">
        <f>'ZSO Kom'!E15</f>
        <v>1500</v>
      </c>
      <c r="F72" s="284">
        <f>'ZSO Kom'!F15</f>
        <v>1500</v>
      </c>
      <c r="G72" s="285">
        <f t="shared" si="1"/>
        <v>1</v>
      </c>
    </row>
    <row r="73" spans="1:9" ht="18" customHeight="1">
      <c r="A73" s="657"/>
      <c r="B73" s="657"/>
      <c r="C73" s="286"/>
      <c r="D73" s="297" t="s">
        <v>454</v>
      </c>
      <c r="E73" s="284">
        <f>'ZS Mich'!E15</f>
        <v>0</v>
      </c>
      <c r="F73" s="284">
        <f>'ZS Mich'!F15</f>
        <v>500</v>
      </c>
      <c r="G73" s="285" t="e">
        <f t="shared" si="1"/>
        <v>#DIV/0!</v>
      </c>
    </row>
    <row r="74" spans="1:9" ht="17.25" customHeight="1">
      <c r="A74" s="657"/>
      <c r="B74" s="657"/>
      <c r="C74" s="286"/>
      <c r="D74" s="297" t="s">
        <v>455</v>
      </c>
      <c r="E74" s="284">
        <f>'ZSP NW'!E15</f>
        <v>2700</v>
      </c>
      <c r="F74" s="284">
        <f>'ZSP NW'!F15</f>
        <v>3000</v>
      </c>
      <c r="G74" s="285">
        <f t="shared" si="1"/>
        <v>1.1111111111111112</v>
      </c>
    </row>
    <row r="75" spans="1:9">
      <c r="A75" s="657"/>
      <c r="B75" s="657"/>
      <c r="C75" s="278">
        <v>4210</v>
      </c>
      <c r="D75" s="279" t="s">
        <v>274</v>
      </c>
      <c r="E75" s="280">
        <f>SUM(E76:E81)</f>
        <v>277090</v>
      </c>
      <c r="F75" s="280">
        <f>SUM(F76:F81)</f>
        <v>297000</v>
      </c>
      <c r="G75" s="281">
        <f t="shared" si="1"/>
        <v>1.0718539102818578</v>
      </c>
      <c r="I75" s="298"/>
    </row>
    <row r="76" spans="1:9" ht="59.45" customHeight="1">
      <c r="A76" s="657"/>
      <c r="B76" s="657"/>
      <c r="C76" s="286"/>
      <c r="D76" s="21" t="s">
        <v>764</v>
      </c>
      <c r="E76" s="284">
        <f>SUM('ZSO Kom'!E18)</f>
        <v>64920</v>
      </c>
      <c r="F76" s="284">
        <f>SUM('ZSO Kom'!F18)</f>
        <v>76000</v>
      </c>
      <c r="G76" s="285">
        <f t="shared" si="1"/>
        <v>1.1706715958102281</v>
      </c>
      <c r="I76" s="298"/>
    </row>
    <row r="77" spans="1:9" ht="65.25" customHeight="1">
      <c r="A77" s="657"/>
      <c r="B77" s="657"/>
      <c r="C77" s="286"/>
      <c r="D77" s="29" t="s">
        <v>790</v>
      </c>
      <c r="E77" s="284">
        <f>SUM('ZS Mich'!E18)</f>
        <v>157170</v>
      </c>
      <c r="F77" s="284">
        <f>SUM('ZS Mich'!F18)</f>
        <v>160000</v>
      </c>
      <c r="G77" s="285">
        <f t="shared" si="1"/>
        <v>1.0180059807851372</v>
      </c>
      <c r="I77" s="298"/>
    </row>
    <row r="78" spans="1:9" ht="51.75" customHeight="1">
      <c r="A78" s="657"/>
      <c r="B78" s="657"/>
      <c r="C78" s="286"/>
      <c r="D78" s="21" t="s">
        <v>831</v>
      </c>
      <c r="E78" s="284">
        <f>SUM('ZSP NW'!E18)</f>
        <v>55000</v>
      </c>
      <c r="F78" s="284">
        <f>SUM('ZSP NW'!F18)</f>
        <v>61000</v>
      </c>
      <c r="G78" s="285">
        <f t="shared" si="1"/>
        <v>1.1090909090909091</v>
      </c>
      <c r="I78" s="298"/>
    </row>
    <row r="79" spans="1:9" ht="16.5" hidden="1" customHeight="1">
      <c r="A79" s="657"/>
      <c r="B79" s="657"/>
      <c r="C79" s="286"/>
      <c r="D79" s="283" t="s">
        <v>526</v>
      </c>
      <c r="E79" s="284">
        <f>SUM('ZSO Kom'!E19)</f>
        <v>0</v>
      </c>
      <c r="F79" s="284">
        <f>SUM('ZSO Kom'!F19)</f>
        <v>0</v>
      </c>
      <c r="G79" s="285" t="e">
        <f t="shared" si="1"/>
        <v>#DIV/0!</v>
      </c>
    </row>
    <row r="80" spans="1:9" ht="17.25" hidden="1" customHeight="1">
      <c r="A80" s="657"/>
      <c r="B80" s="657"/>
      <c r="C80" s="286"/>
      <c r="D80" s="283" t="s">
        <v>527</v>
      </c>
      <c r="E80" s="284">
        <f>SUM('ZS Mich'!E19)</f>
        <v>0</v>
      </c>
      <c r="F80" s="284">
        <f>SUM('ZS Mich'!F19)</f>
        <v>0</v>
      </c>
      <c r="G80" s="285" t="e">
        <f t="shared" si="1"/>
        <v>#DIV/0!</v>
      </c>
    </row>
    <row r="81" spans="1:9" ht="17.25" hidden="1" customHeight="1">
      <c r="A81" s="657"/>
      <c r="B81" s="657"/>
      <c r="C81" s="286"/>
      <c r="D81" s="283" t="s">
        <v>528</v>
      </c>
      <c r="E81" s="284">
        <f>SUM('ZSP NW'!E19)</f>
        <v>0</v>
      </c>
      <c r="F81" s="284">
        <f>SUM('ZSP NW'!F19)</f>
        <v>0</v>
      </c>
      <c r="G81" s="285" t="e">
        <f t="shared" si="1"/>
        <v>#DIV/0!</v>
      </c>
    </row>
    <row r="82" spans="1:9" ht="17.25" customHeight="1">
      <c r="A82" s="657"/>
      <c r="B82" s="657"/>
      <c r="C82" s="278">
        <v>4220</v>
      </c>
      <c r="D82" s="279" t="s">
        <v>492</v>
      </c>
      <c r="E82" s="280">
        <f>E83+E84+E85</f>
        <v>500</v>
      </c>
      <c r="F82" s="280">
        <f>F83+F84+F85</f>
        <v>550</v>
      </c>
      <c r="G82" s="281">
        <f t="shared" si="1"/>
        <v>1.1000000000000001</v>
      </c>
    </row>
    <row r="83" spans="1:9" ht="17.25" customHeight="1">
      <c r="A83" s="657"/>
      <c r="B83" s="657"/>
      <c r="C83" s="286"/>
      <c r="D83" s="283" t="s">
        <v>494</v>
      </c>
      <c r="E83" s="284">
        <f>'ZSO Kom'!E21</f>
        <v>100</v>
      </c>
      <c r="F83" s="284">
        <f>'ZSO Kom'!F21</f>
        <v>150</v>
      </c>
      <c r="G83" s="285">
        <f t="shared" si="1"/>
        <v>1.5</v>
      </c>
    </row>
    <row r="84" spans="1:9" ht="17.25" customHeight="1">
      <c r="A84" s="657"/>
      <c r="B84" s="657"/>
      <c r="C84" s="286"/>
      <c r="D84" s="283" t="s">
        <v>495</v>
      </c>
      <c r="E84" s="284">
        <f>'ZS Mich'!E21</f>
        <v>400</v>
      </c>
      <c r="F84" s="284">
        <f>'ZS Mich'!F21</f>
        <v>400</v>
      </c>
      <c r="G84" s="285">
        <f t="shared" si="1"/>
        <v>1</v>
      </c>
    </row>
    <row r="85" spans="1:9" ht="17.25" hidden="1" customHeight="1">
      <c r="A85" s="657"/>
      <c r="B85" s="657"/>
      <c r="C85" s="286"/>
      <c r="D85" s="283" t="s">
        <v>496</v>
      </c>
      <c r="E85" s="284">
        <f>'ZSP NW'!E21</f>
        <v>0</v>
      </c>
      <c r="F85" s="284">
        <f>'ZSP NW'!F21</f>
        <v>0</v>
      </c>
      <c r="G85" s="285" t="e">
        <f t="shared" si="1"/>
        <v>#DIV/0!</v>
      </c>
    </row>
    <row r="86" spans="1:9">
      <c r="A86" s="657"/>
      <c r="B86" s="657"/>
      <c r="C86" s="278">
        <v>4240</v>
      </c>
      <c r="D86" s="279" t="s">
        <v>179</v>
      </c>
      <c r="E86" s="280">
        <f>SUM(E87:E89)</f>
        <v>114840</v>
      </c>
      <c r="F86" s="280">
        <f>SUM(F87:F89)</f>
        <v>83000</v>
      </c>
      <c r="G86" s="281">
        <f t="shared" si="1"/>
        <v>0.72274468826192961</v>
      </c>
    </row>
    <row r="87" spans="1:9" ht="18" customHeight="1">
      <c r="A87" s="657"/>
      <c r="B87" s="657"/>
      <c r="C87" s="286"/>
      <c r="D87" s="283" t="s">
        <v>180</v>
      </c>
      <c r="E87" s="284">
        <f>SUM('ZSO Kom'!E23)</f>
        <v>66340</v>
      </c>
      <c r="F87" s="284">
        <f>SUM('ZSO Kom'!F23)</f>
        <v>30000</v>
      </c>
      <c r="G87" s="285">
        <f t="shared" si="1"/>
        <v>0.45221585770274342</v>
      </c>
    </row>
    <row r="88" spans="1:9" ht="18.75" customHeight="1">
      <c r="A88" s="657"/>
      <c r="B88" s="657"/>
      <c r="C88" s="286"/>
      <c r="D88" s="283" t="s">
        <v>309</v>
      </c>
      <c r="E88" s="284">
        <f>SUM('ZS Mich'!E23)</f>
        <v>20000</v>
      </c>
      <c r="F88" s="284">
        <f>SUM('ZS Mich'!F23)</f>
        <v>23000</v>
      </c>
      <c r="G88" s="285">
        <f t="shared" si="1"/>
        <v>1.1499999999999999</v>
      </c>
    </row>
    <row r="89" spans="1:9" ht="19.5" customHeight="1">
      <c r="A89" s="657"/>
      <c r="B89" s="657"/>
      <c r="C89" s="286"/>
      <c r="D89" s="283" t="s">
        <v>548</v>
      </c>
      <c r="E89" s="284">
        <f>SUM('ZSP NW'!E23)</f>
        <v>28500</v>
      </c>
      <c r="F89" s="284">
        <f>SUM('ZSP NW'!F23)</f>
        <v>30000</v>
      </c>
      <c r="G89" s="285">
        <f t="shared" si="1"/>
        <v>1.0526315789473684</v>
      </c>
    </row>
    <row r="90" spans="1:9" ht="15" customHeight="1">
      <c r="A90" s="657"/>
      <c r="B90" s="657"/>
      <c r="C90" s="278">
        <v>4260</v>
      </c>
      <c r="D90" s="279" t="s">
        <v>443</v>
      </c>
      <c r="E90" s="280">
        <f>SUM(E91:E93)</f>
        <v>1006300</v>
      </c>
      <c r="F90" s="280">
        <f>SUM(F91:F93)</f>
        <v>1013500</v>
      </c>
      <c r="G90" s="281">
        <f t="shared" si="1"/>
        <v>1.0071549239789328</v>
      </c>
      <c r="I90" s="298"/>
    </row>
    <row r="91" spans="1:9">
      <c r="A91" s="657"/>
      <c r="B91" s="657"/>
      <c r="C91" s="286"/>
      <c r="D91" s="283" t="s">
        <v>444</v>
      </c>
      <c r="E91" s="284">
        <f>SUM('ZSO Kom'!E25)</f>
        <v>431300</v>
      </c>
      <c r="F91" s="284">
        <f>SUM('ZSO Kom'!F25)</f>
        <v>350000</v>
      </c>
      <c r="G91" s="285">
        <f t="shared" si="1"/>
        <v>0.81150011592858795</v>
      </c>
    </row>
    <row r="92" spans="1:9" ht="16.5" customHeight="1">
      <c r="A92" s="657"/>
      <c r="B92" s="657"/>
      <c r="C92" s="286"/>
      <c r="D92" s="283" t="s">
        <v>445</v>
      </c>
      <c r="E92" s="284">
        <f>SUM('ZS Mich'!E27)</f>
        <v>315000</v>
      </c>
      <c r="F92" s="284">
        <f>SUM('ZS Mich'!F27)</f>
        <v>391500</v>
      </c>
      <c r="G92" s="285">
        <f t="shared" si="1"/>
        <v>1.2428571428571429</v>
      </c>
    </row>
    <row r="93" spans="1:9" ht="16.5" customHeight="1">
      <c r="A93" s="657"/>
      <c r="B93" s="657"/>
      <c r="C93" s="286"/>
      <c r="D93" s="283" t="s">
        <v>377</v>
      </c>
      <c r="E93" s="284">
        <f>SUM('ZSP NW'!E27)</f>
        <v>260000</v>
      </c>
      <c r="F93" s="284">
        <f>SUM('ZSP NW'!F27)</f>
        <v>272000</v>
      </c>
      <c r="G93" s="285">
        <f t="shared" si="1"/>
        <v>1.0461538461538462</v>
      </c>
    </row>
    <row r="94" spans="1:9">
      <c r="A94" s="657"/>
      <c r="B94" s="657"/>
      <c r="C94" s="278">
        <v>4270</v>
      </c>
      <c r="D94" s="279" t="s">
        <v>238</v>
      </c>
      <c r="E94" s="280">
        <f>SUM(E95:E100)</f>
        <v>74570</v>
      </c>
      <c r="F94" s="280">
        <f>SUM(F95:F100)</f>
        <v>52700</v>
      </c>
      <c r="G94" s="281">
        <f t="shared" si="1"/>
        <v>0.70671851951186804</v>
      </c>
      <c r="I94" s="298"/>
    </row>
    <row r="95" spans="1:9" ht="30">
      <c r="A95" s="657"/>
      <c r="B95" s="657"/>
      <c r="C95" s="286"/>
      <c r="D95" s="283" t="s">
        <v>197</v>
      </c>
      <c r="E95" s="284">
        <f>SUM('ZSO Kom'!E28)</f>
        <v>9570</v>
      </c>
      <c r="F95" s="284">
        <f>SUM('ZSO Kom'!F28)</f>
        <v>10200</v>
      </c>
      <c r="G95" s="285">
        <f t="shared" si="1"/>
        <v>1.0658307210031348</v>
      </c>
    </row>
    <row r="96" spans="1:9" ht="30">
      <c r="A96" s="657"/>
      <c r="B96" s="657"/>
      <c r="C96" s="286"/>
      <c r="D96" s="283" t="s">
        <v>198</v>
      </c>
      <c r="E96" s="284">
        <f>SUM('ZS Mich'!E30)</f>
        <v>22000</v>
      </c>
      <c r="F96" s="284">
        <f>SUM('ZS Mich'!F30)</f>
        <v>24500</v>
      </c>
      <c r="G96" s="285">
        <f t="shared" si="1"/>
        <v>1.1136363636363635</v>
      </c>
    </row>
    <row r="97" spans="1:9" ht="30">
      <c r="A97" s="657"/>
      <c r="B97" s="657"/>
      <c r="C97" s="286"/>
      <c r="D97" s="283" t="s">
        <v>123</v>
      </c>
      <c r="E97" s="284">
        <f>SUM('ZSP NW'!E30)</f>
        <v>18000</v>
      </c>
      <c r="F97" s="284">
        <f>SUM('ZSP NW'!F30)</f>
        <v>18000</v>
      </c>
      <c r="G97" s="285">
        <f t="shared" si="1"/>
        <v>1</v>
      </c>
    </row>
    <row r="98" spans="1:9" ht="31.5" hidden="1" customHeight="1">
      <c r="A98" s="657"/>
      <c r="B98" s="657"/>
      <c r="C98" s="299"/>
      <c r="D98" s="89" t="s">
        <v>810</v>
      </c>
      <c r="E98" s="301">
        <f>SUM('ZSO Kom'!E27)</f>
        <v>0</v>
      </c>
      <c r="F98" s="301">
        <f>SUM('ZSO Kom'!F27)</f>
        <v>0</v>
      </c>
      <c r="G98" s="302" t="e">
        <f t="shared" si="1"/>
        <v>#DIV/0!</v>
      </c>
      <c r="I98" s="274"/>
    </row>
    <row r="99" spans="1:9" ht="24" customHeight="1">
      <c r="A99" s="657"/>
      <c r="B99" s="657"/>
      <c r="C99" s="286"/>
      <c r="D99" s="27" t="s">
        <v>711</v>
      </c>
      <c r="E99" s="284">
        <f>SUM('ZS Mich'!E29)</f>
        <v>25000</v>
      </c>
      <c r="F99" s="284">
        <f>SUM('ZS Mich'!F29)</f>
        <v>0</v>
      </c>
      <c r="G99" s="281">
        <f t="shared" si="1"/>
        <v>0</v>
      </c>
    </row>
    <row r="100" spans="1:9" ht="59.25" hidden="1" customHeight="1">
      <c r="A100" s="657"/>
      <c r="B100" s="657"/>
      <c r="C100" s="286"/>
      <c r="D100" s="297" t="s">
        <v>633</v>
      </c>
      <c r="E100" s="284">
        <f>SUM('ZSP NW'!E29)</f>
        <v>0</v>
      </c>
      <c r="F100" s="284">
        <f>SUM('ZSP NW'!F29)</f>
        <v>0</v>
      </c>
      <c r="G100" s="281" t="e">
        <f t="shared" si="1"/>
        <v>#DIV/0!</v>
      </c>
    </row>
    <row r="101" spans="1:9" ht="16.5" customHeight="1">
      <c r="A101" s="657"/>
      <c r="B101" s="657"/>
      <c r="C101" s="278">
        <v>4280</v>
      </c>
      <c r="D101" s="279" t="s">
        <v>124</v>
      </c>
      <c r="E101" s="280">
        <f>SUM(E102:E104)</f>
        <v>8500</v>
      </c>
      <c r="F101" s="280">
        <f>SUM(F102:F104)</f>
        <v>10500</v>
      </c>
      <c r="G101" s="281">
        <f t="shared" si="1"/>
        <v>1.2352941176470589</v>
      </c>
    </row>
    <row r="102" spans="1:9" ht="30">
      <c r="A102" s="657"/>
      <c r="B102" s="657"/>
      <c r="C102" s="286"/>
      <c r="D102" s="283" t="s">
        <v>435</v>
      </c>
      <c r="E102" s="284">
        <f>SUM('ZSO Kom'!E29)</f>
        <v>2500</v>
      </c>
      <c r="F102" s="284">
        <f>SUM('ZSO Kom'!F29)</f>
        <v>1500</v>
      </c>
      <c r="G102" s="285">
        <f t="shared" si="1"/>
        <v>0.6</v>
      </c>
    </row>
    <row r="103" spans="1:9" ht="30">
      <c r="A103" s="657"/>
      <c r="B103" s="657"/>
      <c r="C103" s="286"/>
      <c r="D103" s="283" t="s">
        <v>98</v>
      </c>
      <c r="E103" s="284">
        <f>SUM('ZS Mich'!E31)</f>
        <v>4000</v>
      </c>
      <c r="F103" s="284">
        <f>SUM('ZS Mich'!F31)</f>
        <v>7000</v>
      </c>
      <c r="G103" s="285">
        <f t="shared" si="1"/>
        <v>1.75</v>
      </c>
    </row>
    <row r="104" spans="1:9" ht="30">
      <c r="A104" s="657"/>
      <c r="B104" s="657"/>
      <c r="C104" s="286"/>
      <c r="D104" s="283" t="s">
        <v>99</v>
      </c>
      <c r="E104" s="284">
        <f>SUM('ZSP NW'!E31)</f>
        <v>2000</v>
      </c>
      <c r="F104" s="284">
        <f>SUM('ZSP NW'!F31)</f>
        <v>2000</v>
      </c>
      <c r="G104" s="285">
        <f t="shared" si="1"/>
        <v>1</v>
      </c>
    </row>
    <row r="105" spans="1:9">
      <c r="A105" s="657"/>
      <c r="B105" s="657"/>
      <c r="C105" s="278">
        <v>4300</v>
      </c>
      <c r="D105" s="279" t="s">
        <v>100</v>
      </c>
      <c r="E105" s="280">
        <f>SUM(E106:E108)</f>
        <v>631473</v>
      </c>
      <c r="F105" s="280">
        <f>SUM(F106:F108)</f>
        <v>705400</v>
      </c>
      <c r="G105" s="281">
        <f t="shared" si="1"/>
        <v>1.11707072194694</v>
      </c>
      <c r="I105" s="298"/>
    </row>
    <row r="106" spans="1:9" ht="77.25" customHeight="1">
      <c r="A106" s="657"/>
      <c r="B106" s="657"/>
      <c r="C106" s="286"/>
      <c r="D106" s="27" t="s">
        <v>789</v>
      </c>
      <c r="E106" s="284">
        <f>SUM('ZSO Kom'!E31)</f>
        <v>189993</v>
      </c>
      <c r="F106" s="284">
        <f>SUM('ZSO Kom'!F31)</f>
        <v>215000</v>
      </c>
      <c r="G106" s="285">
        <f t="shared" si="1"/>
        <v>1.1316206386551084</v>
      </c>
      <c r="I106" s="274"/>
    </row>
    <row r="107" spans="1:9" ht="90.75" customHeight="1">
      <c r="A107" s="657"/>
      <c r="B107" s="657"/>
      <c r="C107" s="286"/>
      <c r="D107" s="27" t="s">
        <v>788</v>
      </c>
      <c r="E107" s="284">
        <f>SUM('ZS Mich'!E33)</f>
        <v>244250</v>
      </c>
      <c r="F107" s="284">
        <f>SUM('ZS Mich'!F33)</f>
        <v>269400</v>
      </c>
      <c r="G107" s="285">
        <f t="shared" si="1"/>
        <v>1.1029682702149437</v>
      </c>
      <c r="I107" s="274"/>
    </row>
    <row r="108" spans="1:9" ht="61.5" customHeight="1">
      <c r="A108" s="657"/>
      <c r="B108" s="657"/>
      <c r="C108" s="286"/>
      <c r="D108" s="89" t="s">
        <v>842</v>
      </c>
      <c r="E108" s="284">
        <f>SUM('ZSP NW'!E33)</f>
        <v>197230</v>
      </c>
      <c r="F108" s="284">
        <f>SUM('ZSP NW'!F33)</f>
        <v>221000</v>
      </c>
      <c r="G108" s="285">
        <f t="shared" si="1"/>
        <v>1.1205191907924759</v>
      </c>
      <c r="I108" s="274"/>
    </row>
    <row r="109" spans="1:9">
      <c r="A109" s="657"/>
      <c r="B109" s="657"/>
      <c r="C109" s="278">
        <v>4360</v>
      </c>
      <c r="D109" s="279" t="s">
        <v>457</v>
      </c>
      <c r="E109" s="280">
        <f>SUM(E110:E112)</f>
        <v>21500</v>
      </c>
      <c r="F109" s="280">
        <f>SUM(F110:F112)</f>
        <v>20400</v>
      </c>
      <c r="G109" s="281">
        <f t="shared" si="1"/>
        <v>0.94883720930232562</v>
      </c>
    </row>
    <row r="110" spans="1:9" ht="18.75" customHeight="1">
      <c r="A110" s="657"/>
      <c r="B110" s="657"/>
      <c r="C110" s="286"/>
      <c r="D110" s="283" t="s">
        <v>393</v>
      </c>
      <c r="E110" s="284">
        <f>SUM('ZSO Kom'!E32)</f>
        <v>15000</v>
      </c>
      <c r="F110" s="284">
        <f>SUM('ZSO Kom'!F32)</f>
        <v>13100</v>
      </c>
      <c r="G110" s="281">
        <f t="shared" si="1"/>
        <v>0.87333333333333329</v>
      </c>
    </row>
    <row r="111" spans="1:9" ht="19.149999999999999" customHeight="1">
      <c r="A111" s="657"/>
      <c r="B111" s="657"/>
      <c r="C111" s="286"/>
      <c r="D111" s="283" t="s">
        <v>394</v>
      </c>
      <c r="E111" s="284">
        <f>SUM('ZS Mich'!E35)</f>
        <v>3100</v>
      </c>
      <c r="F111" s="284">
        <f>SUM('ZS Mich'!F34)</f>
        <v>3300</v>
      </c>
      <c r="G111" s="281">
        <f t="shared" si="1"/>
        <v>1.064516129032258</v>
      </c>
    </row>
    <row r="112" spans="1:9" ht="19.149999999999999" customHeight="1">
      <c r="A112" s="657"/>
      <c r="B112" s="657"/>
      <c r="C112" s="286"/>
      <c r="D112" s="283" t="s">
        <v>395</v>
      </c>
      <c r="E112" s="284">
        <f>SUM('ZSP NW'!E35)</f>
        <v>3400</v>
      </c>
      <c r="F112" s="284">
        <f>SUM('ZSP NW'!F34)</f>
        <v>4000</v>
      </c>
      <c r="G112" s="281">
        <f t="shared" si="1"/>
        <v>1.1764705882352942</v>
      </c>
    </row>
    <row r="113" spans="1:9" ht="16.5" customHeight="1">
      <c r="A113" s="657"/>
      <c r="B113" s="657"/>
      <c r="C113" s="278">
        <v>4410</v>
      </c>
      <c r="D113" s="279" t="s">
        <v>203</v>
      </c>
      <c r="E113" s="280">
        <f>SUM(E114:E116)</f>
        <v>2020</v>
      </c>
      <c r="F113" s="280">
        <f>SUM(F114:F116)</f>
        <v>3850</v>
      </c>
      <c r="G113" s="281">
        <f t="shared" si="1"/>
        <v>1.9059405940594059</v>
      </c>
    </row>
    <row r="114" spans="1:9" ht="29.25" customHeight="1">
      <c r="A114" s="657"/>
      <c r="B114" s="657"/>
      <c r="C114" s="286"/>
      <c r="D114" s="27" t="s">
        <v>682</v>
      </c>
      <c r="E114" s="284">
        <f>SUM('ZSO Kom'!E35)</f>
        <v>2000</v>
      </c>
      <c r="F114" s="284">
        <f>SUM('ZSO Kom'!F35)</f>
        <v>2100</v>
      </c>
      <c r="G114" s="285">
        <f t="shared" si="1"/>
        <v>1.05</v>
      </c>
    </row>
    <row r="115" spans="1:9" ht="33.75" customHeight="1">
      <c r="A115" s="657"/>
      <c r="B115" s="657"/>
      <c r="C115" s="286"/>
      <c r="D115" s="27" t="s">
        <v>796</v>
      </c>
      <c r="E115" s="284">
        <f>SUM('ZS Mich'!E37)</f>
        <v>20</v>
      </c>
      <c r="F115" s="284">
        <f>SUM('ZS Mich'!F37)</f>
        <v>1750</v>
      </c>
      <c r="G115" s="285">
        <f t="shared" si="1"/>
        <v>87.5</v>
      </c>
    </row>
    <row r="116" spans="1:9" ht="18" hidden="1" customHeight="1">
      <c r="A116" s="657"/>
      <c r="B116" s="657"/>
      <c r="C116" s="286"/>
      <c r="D116" s="283" t="s">
        <v>412</v>
      </c>
      <c r="E116" s="284">
        <f>SUM('ZSP NW'!E37)</f>
        <v>0</v>
      </c>
      <c r="F116" s="284">
        <f>SUM('ZSP NW'!F37)</f>
        <v>0</v>
      </c>
      <c r="G116" s="285" t="e">
        <f t="shared" si="1"/>
        <v>#DIV/0!</v>
      </c>
    </row>
    <row r="117" spans="1:9" ht="17.25" customHeight="1">
      <c r="A117" s="657"/>
      <c r="B117" s="657"/>
      <c r="C117" s="278">
        <v>4430</v>
      </c>
      <c r="D117" s="279" t="s">
        <v>413</v>
      </c>
      <c r="E117" s="280">
        <f>SUM(E118:E120)</f>
        <v>11790</v>
      </c>
      <c r="F117" s="280">
        <f>SUM(F118:F120)</f>
        <v>18500</v>
      </c>
      <c r="G117" s="281">
        <f t="shared" si="1"/>
        <v>1.5691263782866836</v>
      </c>
      <c r="I117" s="298"/>
    </row>
    <row r="118" spans="1:9" ht="17.25" customHeight="1">
      <c r="A118" s="657"/>
      <c r="B118" s="657"/>
      <c r="C118" s="286"/>
      <c r="D118" s="283" t="s">
        <v>302</v>
      </c>
      <c r="E118" s="284">
        <f>SUM('ZSO Kom'!E37)</f>
        <v>3530</v>
      </c>
      <c r="F118" s="284">
        <f>SUM('ZSO Kom'!F37)</f>
        <v>6000</v>
      </c>
      <c r="G118" s="285">
        <f t="shared" si="1"/>
        <v>1.6997167138810199</v>
      </c>
    </row>
    <row r="119" spans="1:9" ht="18" customHeight="1">
      <c r="A119" s="657"/>
      <c r="B119" s="657"/>
      <c r="C119" s="286"/>
      <c r="D119" s="283" t="s">
        <v>31</v>
      </c>
      <c r="E119" s="284">
        <f>SUM('ZS Mich'!E39)</f>
        <v>3760</v>
      </c>
      <c r="F119" s="284">
        <f>SUM('ZS Mich'!F39)</f>
        <v>7000</v>
      </c>
      <c r="G119" s="285">
        <f t="shared" si="1"/>
        <v>1.8617021276595744</v>
      </c>
    </row>
    <row r="120" spans="1:9" ht="16.5" customHeight="1">
      <c r="A120" s="657"/>
      <c r="B120" s="657"/>
      <c r="C120" s="286"/>
      <c r="D120" s="283" t="s">
        <v>32</v>
      </c>
      <c r="E120" s="284">
        <f>SUM('ZSP NW'!E39)</f>
        <v>4500</v>
      </c>
      <c r="F120" s="284">
        <f>SUM('ZSP NW'!F39)</f>
        <v>5500</v>
      </c>
      <c r="G120" s="285">
        <f t="shared" si="1"/>
        <v>1.2222222222222223</v>
      </c>
    </row>
    <row r="121" spans="1:9" ht="16.5" customHeight="1">
      <c r="A121" s="657"/>
      <c r="B121" s="657"/>
      <c r="C121" s="278">
        <v>4440</v>
      </c>
      <c r="D121" s="279" t="s">
        <v>317</v>
      </c>
      <c r="E121" s="280">
        <f>SUM(E122:E124)</f>
        <v>534723</v>
      </c>
      <c r="F121" s="280">
        <f>SUM(F122:F124)</f>
        <v>630159</v>
      </c>
      <c r="G121" s="281">
        <f t="shared" si="1"/>
        <v>1.1784774546821439</v>
      </c>
    </row>
    <row r="122" spans="1:9" ht="30.75" customHeight="1">
      <c r="A122" s="657"/>
      <c r="B122" s="657"/>
      <c r="C122" s="286"/>
      <c r="D122" s="283" t="s">
        <v>318</v>
      </c>
      <c r="E122" s="284">
        <f>SUM('ZSO Kom'!E38)</f>
        <v>188711</v>
      </c>
      <c r="F122" s="284">
        <f>SUM('ZSO Kom'!F38)</f>
        <v>210308</v>
      </c>
      <c r="G122" s="285">
        <f t="shared" si="1"/>
        <v>1.1144448389336075</v>
      </c>
    </row>
    <row r="123" spans="1:9" ht="31.5" customHeight="1">
      <c r="A123" s="657"/>
      <c r="B123" s="657"/>
      <c r="C123" s="286"/>
      <c r="D123" s="283" t="s">
        <v>139</v>
      </c>
      <c r="E123" s="284">
        <f>SUM('ZS Mich'!E40)</f>
        <v>188338</v>
      </c>
      <c r="F123" s="284">
        <f>SUM('ZS Mich'!F40)</f>
        <v>237862</v>
      </c>
      <c r="G123" s="285">
        <f t="shared" si="1"/>
        <v>1.2629527763913815</v>
      </c>
    </row>
    <row r="124" spans="1:9" ht="28.5" customHeight="1">
      <c r="A124" s="657"/>
      <c r="B124" s="657"/>
      <c r="C124" s="286"/>
      <c r="D124" s="283" t="s">
        <v>86</v>
      </c>
      <c r="E124" s="284">
        <f>SUM('ZSP NW'!E40)</f>
        <v>157674</v>
      </c>
      <c r="F124" s="284">
        <f>SUM('ZSP NW'!F40)</f>
        <v>181989</v>
      </c>
      <c r="G124" s="285">
        <f t="shared" si="1"/>
        <v>1.1542105863997869</v>
      </c>
    </row>
    <row r="125" spans="1:9" ht="18" customHeight="1">
      <c r="A125" s="657"/>
      <c r="B125" s="657"/>
      <c r="C125" s="278">
        <v>4700</v>
      </c>
      <c r="D125" s="279" t="s">
        <v>87</v>
      </c>
      <c r="E125" s="280">
        <f>SUM(E126:E128)</f>
        <v>2970</v>
      </c>
      <c r="F125" s="280">
        <f>SUM(F126:F128)</f>
        <v>3600</v>
      </c>
      <c r="G125" s="281">
        <f t="shared" si="1"/>
        <v>1.2121212121212122</v>
      </c>
    </row>
    <row r="126" spans="1:9">
      <c r="A126" s="657"/>
      <c r="B126" s="657"/>
      <c r="C126" s="286"/>
      <c r="D126" s="283" t="s">
        <v>401</v>
      </c>
      <c r="E126" s="284">
        <f>SUM('ZSO Kom'!E40)</f>
        <v>950</v>
      </c>
      <c r="F126" s="284">
        <f>SUM('ZSO Kom'!F40)</f>
        <v>800</v>
      </c>
      <c r="G126" s="285">
        <f t="shared" si="1"/>
        <v>0.84210526315789469</v>
      </c>
    </row>
    <row r="127" spans="1:9">
      <c r="A127" s="657"/>
      <c r="B127" s="657"/>
      <c r="C127" s="286"/>
      <c r="D127" s="283" t="s">
        <v>402</v>
      </c>
      <c r="E127" s="284">
        <f>SUM('ZS Mich'!E42)</f>
        <v>1350</v>
      </c>
      <c r="F127" s="284">
        <f>SUM('ZS Mich'!F42)</f>
        <v>1600</v>
      </c>
      <c r="G127" s="285">
        <f t="shared" si="1"/>
        <v>1.1851851851851851</v>
      </c>
    </row>
    <row r="128" spans="1:9">
      <c r="A128" s="657"/>
      <c r="B128" s="657"/>
      <c r="C128" s="286"/>
      <c r="D128" s="283" t="s">
        <v>403</v>
      </c>
      <c r="E128" s="284">
        <f>SUM('ZSP NW'!E42)</f>
        <v>670</v>
      </c>
      <c r="F128" s="284">
        <f>SUM('ZSP NW'!F42)</f>
        <v>1200</v>
      </c>
      <c r="G128" s="285">
        <f t="shared" si="1"/>
        <v>1.791044776119403</v>
      </c>
    </row>
    <row r="129" spans="1:9" hidden="1">
      <c r="A129" s="657"/>
      <c r="B129" s="657"/>
      <c r="C129" s="286">
        <v>6060</v>
      </c>
      <c r="D129" s="283" t="s">
        <v>414</v>
      </c>
      <c r="E129" s="284">
        <f>SUM(E130)</f>
        <v>0</v>
      </c>
      <c r="F129" s="284">
        <f>SUM(F130)</f>
        <v>0</v>
      </c>
      <c r="G129" s="303" t="e">
        <f t="shared" si="1"/>
        <v>#DIV/0!</v>
      </c>
    </row>
    <row r="130" spans="1:9" hidden="1">
      <c r="A130" s="658"/>
      <c r="B130" s="658"/>
      <c r="C130" s="286"/>
      <c r="D130" s="283" t="s">
        <v>386</v>
      </c>
      <c r="E130" s="284">
        <f>'ZSP NW'!E44</f>
        <v>0</v>
      </c>
      <c r="F130" s="284">
        <f>'ZSP NW'!F44</f>
        <v>0</v>
      </c>
      <c r="G130" s="292" t="e">
        <f t="shared" si="1"/>
        <v>#DIV/0!</v>
      </c>
    </row>
    <row r="131" spans="1:9">
      <c r="A131" s="659" t="s">
        <v>90</v>
      </c>
      <c r="B131" s="662"/>
      <c r="C131" s="662"/>
      <c r="D131" s="663"/>
      <c r="E131" s="291">
        <f>SUM(E37+E44+E51+E55+E59+E63+E67+E71+E75+E82+E86+E90+E94+E101+E105+E109+E113+E117+E121+E125+E129)</f>
        <v>16130813</v>
      </c>
      <c r="F131" s="291">
        <f>SUM(F37+F44+F51+F55+F59+F63+F67+F71+F75+F82+F86+F90+F94+F101+F105+F109+F113+F117+F121+F125+F129)</f>
        <v>20133119</v>
      </c>
      <c r="G131" s="292">
        <f t="shared" si="1"/>
        <v>1.2481155785514344</v>
      </c>
      <c r="H131" s="274">
        <f>'ZS Mich'!F43+'ZSP NW'!F45+'ZSO Kom'!F41+CUW!F39</f>
        <v>20135219</v>
      </c>
      <c r="I131" s="304">
        <f>F131-H131</f>
        <v>-2100</v>
      </c>
    </row>
    <row r="132" spans="1:9" ht="16.5" customHeight="1">
      <c r="A132" s="287">
        <v>801</v>
      </c>
      <c r="B132" s="287">
        <v>80103</v>
      </c>
      <c r="C132" s="287">
        <v>3020</v>
      </c>
      <c r="D132" s="279" t="s">
        <v>347</v>
      </c>
      <c r="E132" s="280">
        <f>SUM(E133:E135)</f>
        <v>95811</v>
      </c>
      <c r="F132" s="280">
        <f>SUM(F133:F135)</f>
        <v>70750</v>
      </c>
      <c r="G132" s="281">
        <f t="shared" ref="G132:G175" si="2">SUM(F132/E132)</f>
        <v>0.73843295654987429</v>
      </c>
    </row>
    <row r="133" spans="1:9" ht="19.5" customHeight="1">
      <c r="A133" s="289"/>
      <c r="B133" s="287"/>
      <c r="C133" s="289"/>
      <c r="D133" s="21" t="s">
        <v>765</v>
      </c>
      <c r="E133" s="284">
        <f>'ZSO Kom'!E42</f>
        <v>13761</v>
      </c>
      <c r="F133" s="284">
        <f>'ZSO Kom'!F42</f>
        <v>12500</v>
      </c>
      <c r="G133" s="285">
        <f t="shared" si="2"/>
        <v>0.9083642177167357</v>
      </c>
    </row>
    <row r="134" spans="1:9" ht="20.25" customHeight="1">
      <c r="A134" s="289"/>
      <c r="B134" s="287"/>
      <c r="C134" s="289"/>
      <c r="D134" s="21" t="s">
        <v>767</v>
      </c>
      <c r="E134" s="284">
        <f>SUM('ZS Mich'!E44)</f>
        <v>45980</v>
      </c>
      <c r="F134" s="284">
        <f>SUM('ZS Mich'!F44)</f>
        <v>29000</v>
      </c>
      <c r="G134" s="285">
        <f t="shared" si="2"/>
        <v>0.63070900391474549</v>
      </c>
    </row>
    <row r="135" spans="1:9" ht="18" customHeight="1">
      <c r="A135" s="289"/>
      <c r="B135" s="287"/>
      <c r="C135" s="289"/>
      <c r="D135" s="21" t="s">
        <v>766</v>
      </c>
      <c r="E135" s="284">
        <f>SUM('ZSP NW'!E46)</f>
        <v>36070</v>
      </c>
      <c r="F135" s="284">
        <f>SUM('ZSP NW'!F46)</f>
        <v>29250</v>
      </c>
      <c r="G135" s="285">
        <f t="shared" si="2"/>
        <v>0.81092320487940117</v>
      </c>
    </row>
    <row r="136" spans="1:9">
      <c r="A136" s="289"/>
      <c r="B136" s="287"/>
      <c r="C136" s="287">
        <v>4010</v>
      </c>
      <c r="D136" s="279" t="s">
        <v>348</v>
      </c>
      <c r="E136" s="280">
        <f>SUM(E137:E142)</f>
        <v>1010261</v>
      </c>
      <c r="F136" s="280">
        <f>SUM(F137:F142)</f>
        <v>1012600</v>
      </c>
      <c r="G136" s="281">
        <f t="shared" si="2"/>
        <v>1.0023152432886155</v>
      </c>
    </row>
    <row r="137" spans="1:9" ht="27.75" customHeight="1">
      <c r="A137" s="289"/>
      <c r="B137" s="287"/>
      <c r="C137" s="289"/>
      <c r="D137" s="283" t="s">
        <v>677</v>
      </c>
      <c r="E137" s="284">
        <f>SUM('ZSO Kom'!E46)</f>
        <v>163391</v>
      </c>
      <c r="F137" s="284">
        <f>SUM('ZSO Kom'!F46)</f>
        <v>185500</v>
      </c>
      <c r="G137" s="285">
        <f t="shared" si="2"/>
        <v>1.1353134505572522</v>
      </c>
    </row>
    <row r="138" spans="1:9" ht="30" customHeight="1">
      <c r="A138" s="289"/>
      <c r="B138" s="287"/>
      <c r="C138" s="289"/>
      <c r="D138" s="283" t="s">
        <v>573</v>
      </c>
      <c r="E138" s="284">
        <f>SUM('ZS Mich'!E48)</f>
        <v>434600</v>
      </c>
      <c r="F138" s="284">
        <f>SUM('ZS Mich'!F48)</f>
        <v>393500</v>
      </c>
      <c r="G138" s="285">
        <f t="shared" si="2"/>
        <v>0.90543028071790155</v>
      </c>
    </row>
    <row r="139" spans="1:9" ht="28.5" customHeight="1">
      <c r="A139" s="289"/>
      <c r="B139" s="287"/>
      <c r="C139" s="289"/>
      <c r="D139" s="283" t="s">
        <v>678</v>
      </c>
      <c r="E139" s="284">
        <f>SUM('ZSP NW'!E50)</f>
        <v>405770</v>
      </c>
      <c r="F139" s="284">
        <f>SUM('ZSP NW'!F50)</f>
        <v>430100</v>
      </c>
      <c r="G139" s="285">
        <f t="shared" si="2"/>
        <v>1.0599600759050694</v>
      </c>
    </row>
    <row r="140" spans="1:9">
      <c r="A140" s="289"/>
      <c r="B140" s="287"/>
      <c r="C140" s="289"/>
      <c r="D140" s="283" t="s">
        <v>652</v>
      </c>
      <c r="E140" s="284">
        <f>SUM('ZSO Kom'!E47)</f>
        <v>500</v>
      </c>
      <c r="F140" s="284">
        <f>SUM('ZSO Kom'!F47)</f>
        <v>0</v>
      </c>
      <c r="G140" s="285">
        <f t="shared" si="2"/>
        <v>0</v>
      </c>
    </row>
    <row r="141" spans="1:9">
      <c r="A141" s="289"/>
      <c r="B141" s="287"/>
      <c r="C141" s="289"/>
      <c r="D141" s="21" t="s">
        <v>812</v>
      </c>
      <c r="E141" s="284">
        <f>SUM('ZS Mich'!E49)</f>
        <v>0</v>
      </c>
      <c r="F141" s="284">
        <f>SUM('ZS Mich'!F49)</f>
        <v>3500</v>
      </c>
      <c r="G141" s="285" t="e">
        <f t="shared" si="2"/>
        <v>#DIV/0!</v>
      </c>
    </row>
    <row r="142" spans="1:9">
      <c r="A142" s="289"/>
      <c r="B142" s="287"/>
      <c r="C142" s="289"/>
      <c r="D142" s="283" t="s">
        <v>651</v>
      </c>
      <c r="E142" s="284">
        <f>SUM('ZSP NW'!E51)</f>
        <v>6000</v>
      </c>
      <c r="F142" s="284">
        <f>SUM('ZSP NW'!F51)</f>
        <v>0</v>
      </c>
      <c r="G142" s="285">
        <f t="shared" si="2"/>
        <v>0</v>
      </c>
    </row>
    <row r="143" spans="1:9">
      <c r="A143" s="289"/>
      <c r="B143" s="287"/>
      <c r="C143" s="287">
        <v>4040</v>
      </c>
      <c r="D143" s="279" t="s">
        <v>349</v>
      </c>
      <c r="E143" s="280">
        <f>SUM(E144:E146)</f>
        <v>63500</v>
      </c>
      <c r="F143" s="280">
        <f>SUM(F144:F146)</f>
        <v>81500</v>
      </c>
      <c r="G143" s="281">
        <f t="shared" si="2"/>
        <v>1.2834645669291338</v>
      </c>
    </row>
    <row r="144" spans="1:9" ht="30">
      <c r="A144" s="289"/>
      <c r="B144" s="287"/>
      <c r="C144" s="289"/>
      <c r="D144" s="283" t="s">
        <v>146</v>
      </c>
      <c r="E144" s="284">
        <f>SUM('ZSO Kom'!E48)</f>
        <v>13500</v>
      </c>
      <c r="F144" s="284">
        <f>SUM('ZSO Kom'!F48)</f>
        <v>13500</v>
      </c>
      <c r="G144" s="285">
        <f t="shared" si="2"/>
        <v>1</v>
      </c>
    </row>
    <row r="145" spans="1:9" ht="29.25" customHeight="1">
      <c r="A145" s="289"/>
      <c r="B145" s="287"/>
      <c r="C145" s="289"/>
      <c r="D145" s="283" t="s">
        <v>285</v>
      </c>
      <c r="E145" s="284">
        <f>SUM('ZS Mich'!E50)</f>
        <v>25000</v>
      </c>
      <c r="F145" s="284">
        <f>SUM('ZS Mich'!F50)</f>
        <v>37000</v>
      </c>
      <c r="G145" s="285">
        <f t="shared" si="2"/>
        <v>1.48</v>
      </c>
    </row>
    <row r="146" spans="1:9" ht="31.5" customHeight="1">
      <c r="A146" s="289"/>
      <c r="B146" s="287"/>
      <c r="C146" s="289"/>
      <c r="D146" s="283" t="s">
        <v>344</v>
      </c>
      <c r="E146" s="284">
        <f>SUM('ZSP NW'!E52)</f>
        <v>25000</v>
      </c>
      <c r="F146" s="284">
        <f>SUM('ZSP NW'!F52)</f>
        <v>31000</v>
      </c>
      <c r="G146" s="285">
        <f t="shared" si="2"/>
        <v>1.24</v>
      </c>
    </row>
    <row r="147" spans="1:9">
      <c r="A147" s="289"/>
      <c r="B147" s="287"/>
      <c r="C147" s="287">
        <v>4110</v>
      </c>
      <c r="D147" s="279" t="s">
        <v>446</v>
      </c>
      <c r="E147" s="280">
        <f>SUM(E148:E150)</f>
        <v>197157</v>
      </c>
      <c r="F147" s="280">
        <f>SUM(F148:F150)</f>
        <v>206700</v>
      </c>
      <c r="G147" s="281">
        <f t="shared" si="2"/>
        <v>1.04840304934646</v>
      </c>
    </row>
    <row r="148" spans="1:9">
      <c r="A148" s="289"/>
      <c r="B148" s="287"/>
      <c r="C148" s="289"/>
      <c r="D148" s="283" t="s">
        <v>447</v>
      </c>
      <c r="E148" s="284">
        <f>SUM('ZSO Kom'!E49)</f>
        <v>34477</v>
      </c>
      <c r="F148" s="284">
        <f>SUM('ZSO Kom'!F49)</f>
        <v>37000</v>
      </c>
      <c r="G148" s="285">
        <f t="shared" si="2"/>
        <v>1.0731792209298954</v>
      </c>
    </row>
    <row r="149" spans="1:9">
      <c r="A149" s="289"/>
      <c r="B149" s="287"/>
      <c r="C149" s="289"/>
      <c r="D149" s="283" t="s">
        <v>448</v>
      </c>
      <c r="E149" s="284">
        <f>SUM('ZS Mich'!E51)</f>
        <v>90790</v>
      </c>
      <c r="F149" s="284">
        <f>SUM('ZS Mich'!F51)</f>
        <v>82000</v>
      </c>
      <c r="G149" s="285">
        <f t="shared" si="2"/>
        <v>0.90318316995263792</v>
      </c>
    </row>
    <row r="150" spans="1:9">
      <c r="A150" s="289"/>
      <c r="B150" s="287"/>
      <c r="C150" s="289"/>
      <c r="D150" s="283" t="s">
        <v>258</v>
      </c>
      <c r="E150" s="284">
        <f>SUM('ZSP NW'!E53)</f>
        <v>71890</v>
      </c>
      <c r="F150" s="284">
        <f>SUM('ZSP NW'!F53)</f>
        <v>87700</v>
      </c>
      <c r="G150" s="285">
        <f t="shared" si="2"/>
        <v>1.219919321185144</v>
      </c>
    </row>
    <row r="151" spans="1:9">
      <c r="A151" s="289"/>
      <c r="B151" s="287"/>
      <c r="C151" s="287">
        <v>4120</v>
      </c>
      <c r="D151" s="279" t="s">
        <v>301</v>
      </c>
      <c r="E151" s="280">
        <f>SUM(E152:E154)</f>
        <v>23810</v>
      </c>
      <c r="F151" s="280">
        <f>SUM(F152:F154)</f>
        <v>24470</v>
      </c>
      <c r="G151" s="281">
        <f t="shared" si="2"/>
        <v>1.0277194456110879</v>
      </c>
    </row>
    <row r="152" spans="1:9">
      <c r="A152" s="289"/>
      <c r="B152" s="287"/>
      <c r="C152" s="289"/>
      <c r="D152" s="283" t="s">
        <v>268</v>
      </c>
      <c r="E152" s="284">
        <f>SUM('ZSO Kom'!E50)</f>
        <v>4380</v>
      </c>
      <c r="F152" s="284">
        <f>SUM('ZSO Kom'!F50)</f>
        <v>4800</v>
      </c>
      <c r="G152" s="285">
        <f t="shared" si="2"/>
        <v>1.095890410958904</v>
      </c>
    </row>
    <row r="153" spans="1:9">
      <c r="A153" s="289"/>
      <c r="B153" s="287"/>
      <c r="C153" s="289"/>
      <c r="D153" s="283" t="s">
        <v>269</v>
      </c>
      <c r="E153" s="284">
        <f>SUM('ZS Mich'!E52)</f>
        <v>11230</v>
      </c>
      <c r="F153" s="284">
        <f>SUM('ZS Mich'!F52)</f>
        <v>10000</v>
      </c>
      <c r="G153" s="285">
        <f t="shared" si="2"/>
        <v>0.89047195013357083</v>
      </c>
    </row>
    <row r="154" spans="1:9">
      <c r="A154" s="289"/>
      <c r="B154" s="287"/>
      <c r="C154" s="289"/>
      <c r="D154" s="283" t="s">
        <v>270</v>
      </c>
      <c r="E154" s="284">
        <f>SUM('ZSP NW'!E54)</f>
        <v>8200</v>
      </c>
      <c r="F154" s="284">
        <f>SUM('ZSP NW'!F54)</f>
        <v>9670</v>
      </c>
      <c r="G154" s="285">
        <f t="shared" si="2"/>
        <v>1.1792682926829268</v>
      </c>
    </row>
    <row r="155" spans="1:9">
      <c r="A155" s="289"/>
      <c r="B155" s="287"/>
      <c r="C155" s="287">
        <v>4190</v>
      </c>
      <c r="D155" s="279" t="s">
        <v>452</v>
      </c>
      <c r="E155" s="284">
        <f>E158</f>
        <v>300</v>
      </c>
      <c r="F155" s="284">
        <f>F158</f>
        <v>300</v>
      </c>
      <c r="G155" s="285">
        <f t="shared" si="2"/>
        <v>1</v>
      </c>
    </row>
    <row r="156" spans="1:9" hidden="1">
      <c r="A156" s="289"/>
      <c r="B156" s="287"/>
      <c r="C156" s="287"/>
      <c r="D156" s="283" t="s">
        <v>497</v>
      </c>
      <c r="E156" s="284"/>
      <c r="F156" s="284"/>
      <c r="G156" s="285" t="e">
        <f t="shared" si="2"/>
        <v>#DIV/0!</v>
      </c>
    </row>
    <row r="157" spans="1:9" hidden="1">
      <c r="A157" s="289"/>
      <c r="B157" s="287"/>
      <c r="C157" s="287"/>
      <c r="D157" s="283" t="s">
        <v>498</v>
      </c>
      <c r="E157" s="284">
        <f>'ZS Mich'!E53</f>
        <v>0</v>
      </c>
      <c r="F157" s="284">
        <f>'ZS Mich'!F53</f>
        <v>0</v>
      </c>
      <c r="G157" s="285" t="e">
        <f t="shared" si="2"/>
        <v>#DIV/0!</v>
      </c>
    </row>
    <row r="158" spans="1:9">
      <c r="A158" s="289"/>
      <c r="B158" s="287"/>
      <c r="C158" s="289"/>
      <c r="D158" s="283" t="s">
        <v>290</v>
      </c>
      <c r="E158" s="284">
        <f>'ZSP NW'!E55</f>
        <v>300</v>
      </c>
      <c r="F158" s="284">
        <f>'ZSP NW'!F56</f>
        <v>300</v>
      </c>
      <c r="G158" s="285">
        <f t="shared" si="2"/>
        <v>1</v>
      </c>
    </row>
    <row r="159" spans="1:9">
      <c r="A159" s="289"/>
      <c r="B159" s="287"/>
      <c r="C159" s="287">
        <v>4210</v>
      </c>
      <c r="D159" s="279" t="s">
        <v>274</v>
      </c>
      <c r="E159" s="280">
        <f>SUM(E160+E161+E162)</f>
        <v>27600</v>
      </c>
      <c r="F159" s="280">
        <f>SUM(F160+F161+F162)</f>
        <v>7500</v>
      </c>
      <c r="G159" s="281">
        <f t="shared" si="2"/>
        <v>0.27173913043478259</v>
      </c>
      <c r="I159" s="298"/>
    </row>
    <row r="160" spans="1:9" ht="18.75" customHeight="1">
      <c r="A160" s="289"/>
      <c r="B160" s="287"/>
      <c r="C160" s="289"/>
      <c r="D160" s="283" t="s">
        <v>575</v>
      </c>
      <c r="E160" s="284">
        <f>SUM('ZSO Kom'!E54)</f>
        <v>6000</v>
      </c>
      <c r="F160" s="284">
        <f>SUM('ZSO Kom'!F54)</f>
        <v>1000</v>
      </c>
      <c r="G160" s="285">
        <f t="shared" si="2"/>
        <v>0.16666666666666666</v>
      </c>
    </row>
    <row r="161" spans="1:11" ht="20.25" customHeight="1">
      <c r="A161" s="289"/>
      <c r="B161" s="287"/>
      <c r="C161" s="289"/>
      <c r="D161" s="297" t="s">
        <v>574</v>
      </c>
      <c r="E161" s="284">
        <f>SUM('ZS Mich'!E56)</f>
        <v>3500</v>
      </c>
      <c r="F161" s="284">
        <f>SUM('ZS Mich'!F56)</f>
        <v>3500</v>
      </c>
      <c r="G161" s="285">
        <f t="shared" si="2"/>
        <v>1</v>
      </c>
    </row>
    <row r="162" spans="1:11" ht="19.5" customHeight="1">
      <c r="A162" s="289"/>
      <c r="B162" s="287"/>
      <c r="C162" s="289"/>
      <c r="D162" s="283" t="s">
        <v>153</v>
      </c>
      <c r="E162" s="284">
        <f>SUM('ZSP NW'!E58)</f>
        <v>18100</v>
      </c>
      <c r="F162" s="284">
        <f>SUM('ZSP NW'!F58)</f>
        <v>3000</v>
      </c>
      <c r="G162" s="285">
        <f t="shared" si="2"/>
        <v>0.16574585635359115</v>
      </c>
    </row>
    <row r="163" spans="1:11">
      <c r="A163" s="289"/>
      <c r="B163" s="287"/>
      <c r="C163" s="287">
        <v>4240</v>
      </c>
      <c r="D163" s="279" t="s">
        <v>179</v>
      </c>
      <c r="E163" s="280">
        <f>SUM(E164:E166)</f>
        <v>15100</v>
      </c>
      <c r="F163" s="280">
        <f>SUM(F164:F166)</f>
        <v>14900</v>
      </c>
      <c r="G163" s="281">
        <f t="shared" si="2"/>
        <v>0.98675496688741726</v>
      </c>
      <c r="I163" s="298"/>
    </row>
    <row r="164" spans="1:11" ht="19.149999999999999" customHeight="1">
      <c r="A164" s="289"/>
      <c r="B164" s="287"/>
      <c r="C164" s="289"/>
      <c r="D164" s="283" t="s">
        <v>180</v>
      </c>
      <c r="E164" s="284">
        <f>SUM('ZSO Kom'!E55)</f>
        <v>5000</v>
      </c>
      <c r="F164" s="284">
        <f>SUM('ZSO Kom'!F55)</f>
        <v>3500</v>
      </c>
      <c r="G164" s="285">
        <f t="shared" si="2"/>
        <v>0.7</v>
      </c>
    </row>
    <row r="165" spans="1:11" ht="18.75" customHeight="1">
      <c r="A165" s="289"/>
      <c r="B165" s="287"/>
      <c r="C165" s="289"/>
      <c r="D165" s="283" t="s">
        <v>333</v>
      </c>
      <c r="E165" s="284">
        <f>SUM('ZS Mich'!E57)</f>
        <v>5100</v>
      </c>
      <c r="F165" s="284">
        <f>SUM('ZS Mich'!F57)</f>
        <v>5400</v>
      </c>
      <c r="G165" s="285">
        <f t="shared" si="2"/>
        <v>1.0588235294117647</v>
      </c>
    </row>
    <row r="166" spans="1:11" ht="16.5" customHeight="1">
      <c r="A166" s="289"/>
      <c r="B166" s="287"/>
      <c r="C166" s="289"/>
      <c r="D166" s="283" t="s">
        <v>202</v>
      </c>
      <c r="E166" s="284">
        <f>'ZSP NW'!E59</f>
        <v>5000</v>
      </c>
      <c r="F166" s="284">
        <f>'ZSP NW'!F59</f>
        <v>6000</v>
      </c>
      <c r="G166" s="285">
        <f t="shared" si="2"/>
        <v>1.2</v>
      </c>
    </row>
    <row r="167" spans="1:11" ht="18.75" customHeight="1">
      <c r="A167" s="289"/>
      <c r="B167" s="287"/>
      <c r="C167" s="287">
        <v>4300</v>
      </c>
      <c r="D167" s="279" t="s">
        <v>100</v>
      </c>
      <c r="E167" s="280">
        <f>SUM(E168:E170)</f>
        <v>500</v>
      </c>
      <c r="F167" s="280">
        <f>SUM(F168:F170)</f>
        <v>500</v>
      </c>
      <c r="G167" s="281">
        <f t="shared" si="2"/>
        <v>1</v>
      </c>
    </row>
    <row r="168" spans="1:11" ht="17.25" customHeight="1">
      <c r="A168" s="289"/>
      <c r="B168" s="287"/>
      <c r="C168" s="289"/>
      <c r="D168" s="21" t="s">
        <v>843</v>
      </c>
      <c r="E168" s="284">
        <f>'ZSO Kom'!E56</f>
        <v>500</v>
      </c>
      <c r="F168" s="284">
        <f>'ZSO Kom'!F56</f>
        <v>500</v>
      </c>
      <c r="G168" s="285">
        <f t="shared" si="2"/>
        <v>1</v>
      </c>
    </row>
    <row r="169" spans="1:11" ht="18" hidden="1" customHeight="1">
      <c r="A169" s="289"/>
      <c r="B169" s="287"/>
      <c r="C169" s="289"/>
      <c r="D169" s="283" t="s">
        <v>212</v>
      </c>
      <c r="E169" s="284">
        <f>'ZS Mich'!E58</f>
        <v>0</v>
      </c>
      <c r="F169" s="284">
        <f>'ZS Mich'!F58</f>
        <v>0</v>
      </c>
      <c r="G169" s="285" t="e">
        <f t="shared" si="2"/>
        <v>#DIV/0!</v>
      </c>
    </row>
    <row r="170" spans="1:11" ht="17.25" hidden="1" customHeight="1">
      <c r="A170" s="289"/>
      <c r="B170" s="287"/>
      <c r="C170" s="289"/>
      <c r="D170" s="283" t="s">
        <v>214</v>
      </c>
      <c r="E170" s="284">
        <f>'ZSP NW'!E60</f>
        <v>0</v>
      </c>
      <c r="F170" s="284">
        <f>'ZSP NW'!F60</f>
        <v>0</v>
      </c>
      <c r="G170" s="285" t="e">
        <f t="shared" si="2"/>
        <v>#DIV/0!</v>
      </c>
    </row>
    <row r="171" spans="1:11">
      <c r="A171" s="289"/>
      <c r="B171" s="287"/>
      <c r="C171" s="287">
        <v>4440</v>
      </c>
      <c r="D171" s="279" t="s">
        <v>317</v>
      </c>
      <c r="E171" s="280">
        <f>SUM(E172:E174)</f>
        <v>55082</v>
      </c>
      <c r="F171" s="280">
        <f>SUM(F172:F174)</f>
        <v>64081</v>
      </c>
      <c r="G171" s="281">
        <f t="shared" si="2"/>
        <v>1.1633746051341636</v>
      </c>
    </row>
    <row r="172" spans="1:11" ht="18.75" customHeight="1">
      <c r="A172" s="289"/>
      <c r="B172" s="287"/>
      <c r="C172" s="289"/>
      <c r="D172" s="283" t="s">
        <v>329</v>
      </c>
      <c r="E172" s="284">
        <f>SUM('ZSO Kom'!E58)</f>
        <v>10889</v>
      </c>
      <c r="F172" s="284">
        <f>SUM('ZSO Kom'!F58)</f>
        <v>14607</v>
      </c>
      <c r="G172" s="285">
        <f t="shared" si="2"/>
        <v>1.3414454954541279</v>
      </c>
    </row>
    <row r="173" spans="1:11" ht="21" customHeight="1">
      <c r="A173" s="289"/>
      <c r="B173" s="287"/>
      <c r="C173" s="289"/>
      <c r="D173" s="283" t="s">
        <v>420</v>
      </c>
      <c r="E173" s="284">
        <f>SUM('ZS Mich'!E60)</f>
        <v>23678</v>
      </c>
      <c r="F173" s="284">
        <f>SUM('ZS Mich'!F60)</f>
        <v>23606</v>
      </c>
      <c r="G173" s="285">
        <f t="shared" si="2"/>
        <v>0.99695920263535776</v>
      </c>
    </row>
    <row r="174" spans="1:11" ht="18.75" customHeight="1">
      <c r="A174" s="289"/>
      <c r="B174" s="287"/>
      <c r="C174" s="289"/>
      <c r="D174" s="283" t="s">
        <v>422</v>
      </c>
      <c r="E174" s="284">
        <f>SUM('ZSP NW'!E62)</f>
        <v>20515</v>
      </c>
      <c r="F174" s="284">
        <f>SUM('ZSP NW'!F62)</f>
        <v>25868</v>
      </c>
      <c r="G174" s="285">
        <f t="shared" si="2"/>
        <v>1.2609310260784792</v>
      </c>
    </row>
    <row r="175" spans="1:11">
      <c r="A175" s="664" t="s">
        <v>129</v>
      </c>
      <c r="B175" s="660"/>
      <c r="C175" s="660"/>
      <c r="D175" s="661"/>
      <c r="E175" s="291">
        <f>SUM(E132+E136+E143+E147+E151+E155+E159+E163+E167+E171)</f>
        <v>1489121</v>
      </c>
      <c r="F175" s="291">
        <f>SUM(F132+F136+F143+F147+F151+F155+F159+F163+F167+F171)</f>
        <v>1483301</v>
      </c>
      <c r="G175" s="292">
        <f t="shared" si="2"/>
        <v>0.99609165406974987</v>
      </c>
      <c r="H175" s="274">
        <f>'ZS Mich'!F61+'ZSP NW'!F63+'ZSO Kom'!F59+CUW!F46</f>
        <v>1520981</v>
      </c>
      <c r="I175" s="304">
        <f>F175-H175</f>
        <v>-37680</v>
      </c>
      <c r="J175" s="298"/>
      <c r="K175" s="274"/>
    </row>
    <row r="176" spans="1:11" ht="18.75" customHeight="1">
      <c r="A176" s="308">
        <v>801</v>
      </c>
      <c r="B176" s="308">
        <v>80104</v>
      </c>
      <c r="C176" s="308">
        <v>3020</v>
      </c>
      <c r="D176" s="279" t="s">
        <v>244</v>
      </c>
      <c r="E176" s="280">
        <f>SUM(E177:E178)</f>
        <v>172380</v>
      </c>
      <c r="F176" s="280">
        <f>SUM(F177:F178)</f>
        <v>112700</v>
      </c>
      <c r="G176" s="281">
        <f t="shared" ref="G176:G244" si="3">SUM(F176/E176)</f>
        <v>0.65378814247592532</v>
      </c>
      <c r="I176" s="298"/>
    </row>
    <row r="177" spans="1:9" ht="31.9" customHeight="1">
      <c r="A177" s="289"/>
      <c r="B177" s="289"/>
      <c r="C177" s="289"/>
      <c r="D177" s="21" t="s">
        <v>797</v>
      </c>
      <c r="E177" s="284">
        <f>'Pd Mich'!F3</f>
        <v>126450</v>
      </c>
      <c r="F177" s="284">
        <f>'Pd Mich'!G3</f>
        <v>85200</v>
      </c>
      <c r="G177" s="285">
        <f t="shared" si="3"/>
        <v>0.67378410438908665</v>
      </c>
      <c r="I177" s="298"/>
    </row>
    <row r="178" spans="1:9" ht="30.75" customHeight="1">
      <c r="A178" s="289"/>
      <c r="B178" s="289"/>
      <c r="C178" s="289"/>
      <c r="D178" s="21" t="s">
        <v>798</v>
      </c>
      <c r="E178" s="284">
        <f>'ZSP NW'!E64</f>
        <v>45930</v>
      </c>
      <c r="F178" s="284">
        <f>'ZSP NW'!F64</f>
        <v>27500</v>
      </c>
      <c r="G178" s="285">
        <f t="shared" si="3"/>
        <v>0.5987372087959939</v>
      </c>
    </row>
    <row r="179" spans="1:9" ht="19.5" customHeight="1">
      <c r="A179" s="289" t="s">
        <v>345</v>
      </c>
      <c r="B179" s="289" t="s">
        <v>346</v>
      </c>
      <c r="C179" s="287">
        <v>4010</v>
      </c>
      <c r="D179" s="279" t="s">
        <v>348</v>
      </c>
      <c r="E179" s="280">
        <f>SUM(E180:E183)</f>
        <v>2179672</v>
      </c>
      <c r="F179" s="280">
        <f>SUM(F180:F183)</f>
        <v>2518500</v>
      </c>
      <c r="G179" s="281">
        <f t="shared" si="3"/>
        <v>1.1554490767418217</v>
      </c>
    </row>
    <row r="180" spans="1:9" ht="32.25" customHeight="1">
      <c r="A180" s="289"/>
      <c r="B180" s="289"/>
      <c r="C180" s="289"/>
      <c r="D180" s="309" t="s">
        <v>676</v>
      </c>
      <c r="E180" s="284">
        <f>SUM('Pd Mich'!F7)</f>
        <v>1586660</v>
      </c>
      <c r="F180" s="284">
        <f>SUM('Pd Mich'!G7)</f>
        <v>1849800</v>
      </c>
      <c r="G180" s="285">
        <f t="shared" si="3"/>
        <v>1.165845234643843</v>
      </c>
    </row>
    <row r="181" spans="1:9" ht="18" customHeight="1">
      <c r="A181" s="289"/>
      <c r="B181" s="289"/>
      <c r="C181" s="289"/>
      <c r="D181" s="309" t="str">
        <f>'Pd Mich'!D9</f>
        <v xml:space="preserve"> nagrody jubileuszowe (2)</v>
      </c>
      <c r="E181" s="284">
        <f>'Pd Mich'!F9</f>
        <v>22600</v>
      </c>
      <c r="F181" s="284">
        <f>'Pd Mich'!G9</f>
        <v>6200</v>
      </c>
      <c r="G181" s="285">
        <f t="shared" si="3"/>
        <v>0.27433628318584069</v>
      </c>
    </row>
    <row r="182" spans="1:9" ht="33" customHeight="1">
      <c r="A182" s="289"/>
      <c r="B182" s="289"/>
      <c r="C182" s="289"/>
      <c r="D182" s="309" t="s">
        <v>675</v>
      </c>
      <c r="E182" s="284">
        <f>'ZSP NW'!E68</f>
        <v>560012</v>
      </c>
      <c r="F182" s="284">
        <f>'ZSP NW'!F68</f>
        <v>633500</v>
      </c>
      <c r="G182" s="285">
        <f t="shared" si="3"/>
        <v>1.1312257594480117</v>
      </c>
    </row>
    <row r="183" spans="1:9" ht="16.5" customHeight="1">
      <c r="A183" s="289"/>
      <c r="B183" s="289"/>
      <c r="C183" s="289"/>
      <c r="D183" s="309" t="str">
        <f>'ZSP NW'!D69</f>
        <v>nagrody jubileuszowe 3</v>
      </c>
      <c r="E183" s="284">
        <f>'ZSP NW'!E69</f>
        <v>10400</v>
      </c>
      <c r="F183" s="284">
        <f>'ZSP NW'!F69</f>
        <v>29000</v>
      </c>
      <c r="G183" s="285">
        <f t="shared" si="3"/>
        <v>2.7884615384615383</v>
      </c>
    </row>
    <row r="184" spans="1:9" ht="18.75" customHeight="1">
      <c r="A184" s="289" t="s">
        <v>345</v>
      </c>
      <c r="B184" s="289" t="s">
        <v>346</v>
      </c>
      <c r="C184" s="287">
        <v>4040</v>
      </c>
      <c r="D184" s="279" t="s">
        <v>349</v>
      </c>
      <c r="E184" s="280">
        <f>SUM(E185:E186)</f>
        <v>163000</v>
      </c>
      <c r="F184" s="280">
        <f>SUM(F185:F186)</f>
        <v>185000</v>
      </c>
      <c r="G184" s="281">
        <f t="shared" si="3"/>
        <v>1.1349693251533743</v>
      </c>
    </row>
    <row r="185" spans="1:9" ht="28.5" customHeight="1">
      <c r="A185" s="289"/>
      <c r="B185" s="289"/>
      <c r="C185" s="289"/>
      <c r="D185" s="283" t="s">
        <v>29</v>
      </c>
      <c r="E185" s="284">
        <f>SUM('Pd Mich'!F10)</f>
        <v>116000</v>
      </c>
      <c r="F185" s="284">
        <f>SUM('Pd Mich'!G10)</f>
        <v>134000</v>
      </c>
      <c r="G185" s="285">
        <f t="shared" si="3"/>
        <v>1.1551724137931034</v>
      </c>
    </row>
    <row r="186" spans="1:9" ht="29.25" customHeight="1">
      <c r="A186" s="289"/>
      <c r="B186" s="289"/>
      <c r="C186" s="289"/>
      <c r="D186" s="283" t="s">
        <v>30</v>
      </c>
      <c r="E186" s="284">
        <f>'ZSP NW'!E70</f>
        <v>47000</v>
      </c>
      <c r="F186" s="284">
        <f>'ZSP NW'!F70</f>
        <v>51000</v>
      </c>
      <c r="G186" s="285">
        <f t="shared" si="3"/>
        <v>1.0851063829787233</v>
      </c>
    </row>
    <row r="187" spans="1:9">
      <c r="A187" s="289" t="s">
        <v>345</v>
      </c>
      <c r="B187" s="289" t="s">
        <v>346</v>
      </c>
      <c r="C187" s="287">
        <v>4110</v>
      </c>
      <c r="D187" s="279" t="s">
        <v>446</v>
      </c>
      <c r="E187" s="280">
        <f>SUM(E188:E189)</f>
        <v>446065</v>
      </c>
      <c r="F187" s="280">
        <f>SUM(F188:F189)</f>
        <v>500500</v>
      </c>
      <c r="G187" s="281">
        <f t="shared" si="3"/>
        <v>1.1220337843139452</v>
      </c>
    </row>
    <row r="188" spans="1:9" ht="18" customHeight="1">
      <c r="A188" s="289"/>
      <c r="B188" s="289"/>
      <c r="C188" s="289"/>
      <c r="D188" s="283" t="s">
        <v>196</v>
      </c>
      <c r="E188" s="284">
        <f>SUM('Pd Mich'!F11)</f>
        <v>327640</v>
      </c>
      <c r="F188" s="284">
        <f>SUM('Pd Mich'!G11)</f>
        <v>375500</v>
      </c>
      <c r="G188" s="285">
        <f t="shared" si="3"/>
        <v>1.146074960322305</v>
      </c>
    </row>
    <row r="189" spans="1:9" ht="17.25" customHeight="1">
      <c r="A189" s="289"/>
      <c r="B189" s="289"/>
      <c r="C189" s="289"/>
      <c r="D189" s="283" t="s">
        <v>56</v>
      </c>
      <c r="E189" s="284">
        <f>'ZSP NW'!E71</f>
        <v>118425</v>
      </c>
      <c r="F189" s="284">
        <f>'ZSP NW'!F71</f>
        <v>125000</v>
      </c>
      <c r="G189" s="285">
        <f t="shared" si="3"/>
        <v>1.0555203715431707</v>
      </c>
    </row>
    <row r="190" spans="1:9" ht="17.25" customHeight="1">
      <c r="A190" s="289" t="s">
        <v>345</v>
      </c>
      <c r="B190" s="289" t="s">
        <v>346</v>
      </c>
      <c r="C190" s="287">
        <v>4120</v>
      </c>
      <c r="D190" s="279" t="s">
        <v>301</v>
      </c>
      <c r="E190" s="280">
        <f>SUM(E191:E192)</f>
        <v>57820</v>
      </c>
      <c r="F190" s="280">
        <f>SUM(F191:F192)</f>
        <v>64350</v>
      </c>
      <c r="G190" s="281">
        <f t="shared" si="3"/>
        <v>1.1129367001037702</v>
      </c>
    </row>
    <row r="191" spans="1:9" ht="17.25" customHeight="1">
      <c r="A191" s="289"/>
      <c r="B191" s="289"/>
      <c r="C191" s="289"/>
      <c r="D191" s="283" t="s">
        <v>57</v>
      </c>
      <c r="E191" s="284">
        <f>SUM('Pd Mich'!F12)</f>
        <v>42130</v>
      </c>
      <c r="F191" s="284">
        <f>SUM('Pd Mich'!G12)</f>
        <v>48350</v>
      </c>
      <c r="G191" s="285">
        <f t="shared" si="3"/>
        <v>1.1476382625207691</v>
      </c>
    </row>
    <row r="192" spans="1:9" ht="16.5" customHeight="1">
      <c r="A192" s="289"/>
      <c r="B192" s="289"/>
      <c r="C192" s="289"/>
      <c r="D192" s="283" t="s">
        <v>58</v>
      </c>
      <c r="E192" s="284">
        <f>'ZSP NW'!E72</f>
        <v>15690</v>
      </c>
      <c r="F192" s="284">
        <f>'ZSP NW'!F72</f>
        <v>16000</v>
      </c>
      <c r="G192" s="285">
        <f t="shared" si="3"/>
        <v>1.0197578075207139</v>
      </c>
    </row>
    <row r="193" spans="1:9" ht="17.25" customHeight="1">
      <c r="A193" s="289"/>
      <c r="B193" s="289"/>
      <c r="C193" s="287">
        <v>4140</v>
      </c>
      <c r="D193" s="279" t="s">
        <v>288</v>
      </c>
      <c r="E193" s="280">
        <f>SUM(E194)</f>
        <v>0</v>
      </c>
      <c r="F193" s="280">
        <f>SUM(F194)</f>
        <v>0</v>
      </c>
      <c r="G193" s="281" t="e">
        <f t="shared" si="3"/>
        <v>#DIV/0!</v>
      </c>
    </row>
    <row r="194" spans="1:9" ht="16.5" customHeight="1">
      <c r="A194" s="289"/>
      <c r="B194" s="289"/>
      <c r="C194" s="289"/>
      <c r="D194" s="283" t="s">
        <v>240</v>
      </c>
      <c r="E194" s="284">
        <f>SUM('Pd Mich'!F13)</f>
        <v>0</v>
      </c>
      <c r="F194" s="284">
        <f>SUM('Pd Mich'!G13)</f>
        <v>0</v>
      </c>
      <c r="G194" s="285" t="e">
        <f t="shared" si="3"/>
        <v>#DIV/0!</v>
      </c>
    </row>
    <row r="195" spans="1:9" hidden="1">
      <c r="A195" s="289"/>
      <c r="B195" s="289"/>
      <c r="C195" s="287">
        <v>4170</v>
      </c>
      <c r="D195" s="279" t="s">
        <v>235</v>
      </c>
      <c r="E195" s="280">
        <f>SUM(E196:E197)</f>
        <v>0</v>
      </c>
      <c r="F195" s="280">
        <f>SUM(F196:F197)</f>
        <v>0</v>
      </c>
      <c r="G195" s="281" t="e">
        <f t="shared" si="3"/>
        <v>#DIV/0!</v>
      </c>
    </row>
    <row r="196" spans="1:9" hidden="1">
      <c r="A196" s="289"/>
      <c r="B196" s="289"/>
      <c r="C196" s="289"/>
      <c r="D196" s="283" t="s">
        <v>8</v>
      </c>
      <c r="E196" s="284">
        <f>SUM('Pd Mich'!F15)</f>
        <v>0</v>
      </c>
      <c r="F196" s="284">
        <f>SUM('Pd Mich'!G15)</f>
        <v>0</v>
      </c>
      <c r="G196" s="285" t="e">
        <f t="shared" si="3"/>
        <v>#DIV/0!</v>
      </c>
    </row>
    <row r="197" spans="1:9" ht="29.25" hidden="1" customHeight="1">
      <c r="A197" s="289"/>
      <c r="B197" s="289"/>
      <c r="C197" s="289"/>
      <c r="D197" s="297" t="s">
        <v>15</v>
      </c>
      <c r="E197" s="284">
        <f>'ZSP NW'!E74</f>
        <v>0</v>
      </c>
      <c r="F197" s="284">
        <f>'ZSP NW'!F74</f>
        <v>0</v>
      </c>
      <c r="G197" s="285" t="e">
        <f t="shared" si="3"/>
        <v>#DIV/0!</v>
      </c>
    </row>
    <row r="198" spans="1:9" ht="18" customHeight="1">
      <c r="A198" s="289"/>
      <c r="B198" s="289"/>
      <c r="C198" s="287">
        <v>4190</v>
      </c>
      <c r="D198" s="293" t="s">
        <v>452</v>
      </c>
      <c r="E198" s="284">
        <f>E199</f>
        <v>1500</v>
      </c>
      <c r="F198" s="284">
        <f>F199</f>
        <v>1600</v>
      </c>
      <c r="G198" s="285">
        <f t="shared" si="3"/>
        <v>1.0666666666666667</v>
      </c>
    </row>
    <row r="199" spans="1:9" ht="18.75" customHeight="1">
      <c r="A199" s="289"/>
      <c r="B199" s="289"/>
      <c r="C199" s="289"/>
      <c r="D199" s="283" t="s">
        <v>184</v>
      </c>
      <c r="E199" s="284">
        <f>'Pd Mich'!F17</f>
        <v>1500</v>
      </c>
      <c r="F199" s="284">
        <f>'Pd Mich'!G17</f>
        <v>1600</v>
      </c>
      <c r="G199" s="285">
        <f t="shared" si="3"/>
        <v>1.0666666666666667</v>
      </c>
    </row>
    <row r="200" spans="1:9" ht="18.75" customHeight="1">
      <c r="A200" s="289" t="s">
        <v>345</v>
      </c>
      <c r="B200" s="289" t="s">
        <v>346</v>
      </c>
      <c r="C200" s="287">
        <v>4210</v>
      </c>
      <c r="D200" s="279" t="s">
        <v>274</v>
      </c>
      <c r="E200" s="280">
        <f>SUM(E201:E202)</f>
        <v>99320</v>
      </c>
      <c r="F200" s="280">
        <f>SUM(F201:F202)</f>
        <v>94250</v>
      </c>
      <c r="G200" s="281">
        <f t="shared" si="3"/>
        <v>0.94895287958115182</v>
      </c>
    </row>
    <row r="201" spans="1:9" ht="59.45" customHeight="1">
      <c r="A201" s="289"/>
      <c r="B201" s="289"/>
      <c r="C201" s="289"/>
      <c r="D201" s="89" t="s">
        <v>817</v>
      </c>
      <c r="E201" s="284">
        <f>SUM('Pd Mich'!F19)</f>
        <v>71920</v>
      </c>
      <c r="F201" s="284">
        <f>SUM('Pd Mich'!G19)</f>
        <v>67200</v>
      </c>
      <c r="G201" s="285">
        <f t="shared" si="3"/>
        <v>0.93437152391546163</v>
      </c>
      <c r="I201" s="298"/>
    </row>
    <row r="202" spans="1:9" ht="47.25" customHeight="1">
      <c r="A202" s="289"/>
      <c r="B202" s="289"/>
      <c r="C202" s="289"/>
      <c r="D202" s="21" t="s">
        <v>825</v>
      </c>
      <c r="E202" s="284">
        <f>'ZSP NW'!E76</f>
        <v>27400</v>
      </c>
      <c r="F202" s="284">
        <f>'ZSP NW'!F76</f>
        <v>27050</v>
      </c>
      <c r="G202" s="285">
        <f t="shared" si="3"/>
        <v>0.98722627737226276</v>
      </c>
      <c r="I202" s="298"/>
    </row>
    <row r="203" spans="1:9" ht="21.75" customHeight="1">
      <c r="A203" s="289"/>
      <c r="B203" s="289"/>
      <c r="C203" s="278">
        <v>4220</v>
      </c>
      <c r="D203" s="279" t="s">
        <v>492</v>
      </c>
      <c r="E203" s="284">
        <f>SUM(E204:E205)</f>
        <v>9700</v>
      </c>
      <c r="F203" s="284">
        <f>SUM(F204:F205)</f>
        <v>12200</v>
      </c>
      <c r="G203" s="285">
        <f>SUM(F203/E203)</f>
        <v>1.2577319587628866</v>
      </c>
      <c r="I203" s="298"/>
    </row>
    <row r="204" spans="1:9" ht="18.75" customHeight="1">
      <c r="A204" s="289"/>
      <c r="B204" s="289"/>
      <c r="C204" s="289"/>
      <c r="D204" s="283" t="s">
        <v>536</v>
      </c>
      <c r="E204" s="284">
        <f>'Pd Mich'!F20</f>
        <v>6700</v>
      </c>
      <c r="F204" s="284">
        <f>'Pd Mich'!G20</f>
        <v>6700</v>
      </c>
      <c r="G204" s="285">
        <f>SUM(F204/E204)</f>
        <v>1</v>
      </c>
      <c r="I204" s="298"/>
    </row>
    <row r="205" spans="1:9" ht="17.25" customHeight="1">
      <c r="A205" s="289"/>
      <c r="B205" s="289"/>
      <c r="C205" s="289"/>
      <c r="D205" s="283" t="s">
        <v>537</v>
      </c>
      <c r="E205" s="284">
        <f>'ZSP NW'!E77</f>
        <v>3000</v>
      </c>
      <c r="F205" s="284">
        <f>'ZSP NW'!F77</f>
        <v>5500</v>
      </c>
      <c r="G205" s="285">
        <f>SUM(F205/E205)</f>
        <v>1.8333333333333333</v>
      </c>
      <c r="I205" s="298"/>
    </row>
    <row r="206" spans="1:9">
      <c r="A206" s="289" t="s">
        <v>345</v>
      </c>
      <c r="B206" s="289" t="s">
        <v>346</v>
      </c>
      <c r="C206" s="287">
        <v>4240</v>
      </c>
      <c r="D206" s="279" t="s">
        <v>179</v>
      </c>
      <c r="E206" s="280">
        <f>SUM(E207:E208)</f>
        <v>35700</v>
      </c>
      <c r="F206" s="280">
        <f>SUM(F207:F208)</f>
        <v>33000</v>
      </c>
      <c r="G206" s="281">
        <f t="shared" si="3"/>
        <v>0.92436974789915971</v>
      </c>
    </row>
    <row r="207" spans="1:9" ht="30.75" customHeight="1">
      <c r="A207" s="289"/>
      <c r="B207" s="289"/>
      <c r="C207" s="289"/>
      <c r="D207" s="283" t="s">
        <v>674</v>
      </c>
      <c r="E207" s="284">
        <f>SUM('Pd Mich'!F22)</f>
        <v>25000</v>
      </c>
      <c r="F207" s="284">
        <f>SUM('Pd Mich'!G22)</f>
        <v>25000</v>
      </c>
      <c r="G207" s="285">
        <f t="shared" si="3"/>
        <v>1</v>
      </c>
    </row>
    <row r="208" spans="1:9" ht="17.25" customHeight="1">
      <c r="A208" s="289"/>
      <c r="B208" s="289"/>
      <c r="C208" s="289"/>
      <c r="D208" s="44" t="s">
        <v>818</v>
      </c>
      <c r="E208" s="284">
        <f>'ZSP NW'!E79</f>
        <v>10700</v>
      </c>
      <c r="F208" s="284">
        <f>'ZSP NW'!F79</f>
        <v>8000</v>
      </c>
      <c r="G208" s="285">
        <f t="shared" si="3"/>
        <v>0.74766355140186913</v>
      </c>
    </row>
    <row r="209" spans="1:9">
      <c r="A209" s="289"/>
      <c r="B209" s="289"/>
      <c r="C209" s="287">
        <v>4260</v>
      </c>
      <c r="D209" s="279" t="s">
        <v>443</v>
      </c>
      <c r="E209" s="280">
        <f>SUM(E210:E211)</f>
        <v>126300</v>
      </c>
      <c r="F209" s="280">
        <f>SUM(F210:F211)</f>
        <v>129300</v>
      </c>
      <c r="G209" s="281">
        <f t="shared" si="3"/>
        <v>1.0237529691211402</v>
      </c>
      <c r="I209" s="298"/>
    </row>
    <row r="210" spans="1:9" ht="18.75" customHeight="1">
      <c r="A210" s="289"/>
      <c r="B210" s="289"/>
      <c r="C210" s="289"/>
      <c r="D210" s="283" t="s">
        <v>48</v>
      </c>
      <c r="E210" s="284">
        <f>SUM('Pd Mich'!F24)</f>
        <v>94000</v>
      </c>
      <c r="F210" s="284">
        <f>SUM('Pd Mich'!G24)</f>
        <v>97000</v>
      </c>
      <c r="G210" s="285">
        <f t="shared" si="3"/>
        <v>1.0319148936170213</v>
      </c>
    </row>
    <row r="211" spans="1:9" ht="17.25" customHeight="1">
      <c r="A211" s="289"/>
      <c r="B211" s="289"/>
      <c r="C211" s="289"/>
      <c r="D211" s="283" t="s">
        <v>418</v>
      </c>
      <c r="E211" s="284">
        <f>'ZSP NW'!E81</f>
        <v>32300</v>
      </c>
      <c r="F211" s="284">
        <f>'ZSP NW'!F81</f>
        <v>32300</v>
      </c>
      <c r="G211" s="285">
        <f t="shared" si="3"/>
        <v>1</v>
      </c>
    </row>
    <row r="212" spans="1:9">
      <c r="A212" s="289"/>
      <c r="B212" s="289"/>
      <c r="C212" s="287">
        <v>4270</v>
      </c>
      <c r="D212" s="279" t="s">
        <v>238</v>
      </c>
      <c r="E212" s="280">
        <f>SUM(E213:E216)</f>
        <v>15300</v>
      </c>
      <c r="F212" s="280">
        <f>SUM(F213:F216)</f>
        <v>16800</v>
      </c>
      <c r="G212" s="281">
        <f t="shared" si="3"/>
        <v>1.0980392156862746</v>
      </c>
      <c r="I212" s="298"/>
    </row>
    <row r="213" spans="1:9" ht="19.5" customHeight="1">
      <c r="A213" s="289"/>
      <c r="B213" s="289"/>
      <c r="C213" s="289"/>
      <c r="D213" s="283" t="s">
        <v>373</v>
      </c>
      <c r="E213" s="284">
        <f>SUM('Pd Mich'!F27)</f>
        <v>13500</v>
      </c>
      <c r="F213" s="284">
        <f>SUM('Pd Mich'!G27)</f>
        <v>15000</v>
      </c>
      <c r="G213" s="281">
        <f t="shared" si="3"/>
        <v>1.1111111111111112</v>
      </c>
    </row>
    <row r="214" spans="1:9" ht="18.75" customHeight="1">
      <c r="A214" s="289"/>
      <c r="B214" s="289"/>
      <c r="C214" s="289"/>
      <c r="D214" s="283" t="s">
        <v>267</v>
      </c>
      <c r="E214" s="284">
        <f>'ZSP NW'!E84</f>
        <v>1800</v>
      </c>
      <c r="F214" s="284">
        <f>'ZSP NW'!F84</f>
        <v>1800</v>
      </c>
      <c r="G214" s="285">
        <f t="shared" si="3"/>
        <v>1</v>
      </c>
    </row>
    <row r="215" spans="1:9" hidden="1">
      <c r="A215" s="289"/>
      <c r="B215" s="289"/>
      <c r="C215" s="289"/>
      <c r="D215" s="297" t="s">
        <v>149</v>
      </c>
      <c r="E215" s="284">
        <f>SUM('Pd Mich'!F26)</f>
        <v>0</v>
      </c>
      <c r="F215" s="284">
        <f>SUM('Pd Mich'!G26)</f>
        <v>0</v>
      </c>
      <c r="G215" s="285"/>
    </row>
    <row r="216" spans="1:9" ht="48.75" hidden="1" customHeight="1">
      <c r="A216" s="289"/>
      <c r="B216" s="289"/>
      <c r="C216" s="289"/>
      <c r="D216" s="297" t="s">
        <v>625</v>
      </c>
      <c r="E216" s="284">
        <f>'ZSP NW'!E83</f>
        <v>0</v>
      </c>
      <c r="F216" s="284">
        <f>'ZSP NW'!F83</f>
        <v>0</v>
      </c>
      <c r="G216" s="285" t="e">
        <f t="shared" si="3"/>
        <v>#DIV/0!</v>
      </c>
    </row>
    <row r="217" spans="1:9">
      <c r="A217" s="289"/>
      <c r="B217" s="289"/>
      <c r="C217" s="287">
        <v>4280</v>
      </c>
      <c r="D217" s="279" t="s">
        <v>124</v>
      </c>
      <c r="E217" s="280">
        <f>SUM(E218:E219)</f>
        <v>2250</v>
      </c>
      <c r="F217" s="280">
        <f>SUM(F218:F219)</f>
        <v>2500</v>
      </c>
      <c r="G217" s="281">
        <f t="shared" si="3"/>
        <v>1.1111111111111112</v>
      </c>
    </row>
    <row r="218" spans="1:9" ht="30">
      <c r="A218" s="289"/>
      <c r="B218" s="289"/>
      <c r="C218" s="289"/>
      <c r="D218" s="283" t="s">
        <v>266</v>
      </c>
      <c r="E218" s="284">
        <f>SUM('Pd Mich'!F28)</f>
        <v>1750</v>
      </c>
      <c r="F218" s="284">
        <f>SUM('Pd Mich'!G28)</f>
        <v>2000</v>
      </c>
      <c r="G218" s="285">
        <f t="shared" si="3"/>
        <v>1.1428571428571428</v>
      </c>
    </row>
    <row r="219" spans="1:9" ht="30">
      <c r="A219" s="289"/>
      <c r="B219" s="289"/>
      <c r="C219" s="289"/>
      <c r="D219" s="283" t="s">
        <v>364</v>
      </c>
      <c r="E219" s="284">
        <f>'ZSP NW'!E85</f>
        <v>500</v>
      </c>
      <c r="F219" s="284">
        <f>'ZSP NW'!F85</f>
        <v>500</v>
      </c>
      <c r="G219" s="285">
        <f t="shared" si="3"/>
        <v>1</v>
      </c>
    </row>
    <row r="220" spans="1:9">
      <c r="A220" s="289"/>
      <c r="B220" s="289"/>
      <c r="C220" s="287">
        <v>4300</v>
      </c>
      <c r="D220" s="279" t="s">
        <v>100</v>
      </c>
      <c r="E220" s="280">
        <f>SUM(E221:E222)</f>
        <v>145070</v>
      </c>
      <c r="F220" s="280">
        <f>SUM(F221:F222)</f>
        <v>149900</v>
      </c>
      <c r="G220" s="281">
        <f t="shared" si="3"/>
        <v>1.0332942717308886</v>
      </c>
      <c r="I220" s="298"/>
    </row>
    <row r="221" spans="1:9" ht="90.75" customHeight="1">
      <c r="A221" s="289"/>
      <c r="B221" s="289"/>
      <c r="C221" s="289"/>
      <c r="D221" s="27" t="s">
        <v>821</v>
      </c>
      <c r="E221" s="284">
        <f>SUM('Pd Mich'!F30)</f>
        <v>115070</v>
      </c>
      <c r="F221" s="284">
        <f>SUM('Pd Mich'!G30)</f>
        <v>120000</v>
      </c>
      <c r="G221" s="285">
        <f t="shared" si="3"/>
        <v>1.0428434865733902</v>
      </c>
      <c r="I221" s="298"/>
    </row>
    <row r="222" spans="1:9" ht="59.45" customHeight="1">
      <c r="A222" s="289"/>
      <c r="B222" s="289"/>
      <c r="C222" s="289"/>
      <c r="D222" s="52" t="s">
        <v>827</v>
      </c>
      <c r="E222" s="284">
        <f>'ZSP NW'!E87</f>
        <v>30000</v>
      </c>
      <c r="F222" s="284">
        <f>'ZSP NW'!F87</f>
        <v>29900</v>
      </c>
      <c r="G222" s="285">
        <f t="shared" si="3"/>
        <v>0.9966666666666667</v>
      </c>
      <c r="I222" s="298"/>
    </row>
    <row r="223" spans="1:9">
      <c r="A223" s="289"/>
      <c r="B223" s="289"/>
      <c r="C223" s="287">
        <v>4360</v>
      </c>
      <c r="D223" s="279" t="s">
        <v>391</v>
      </c>
      <c r="E223" s="280">
        <f>SUM(E224:E225)</f>
        <v>3200</v>
      </c>
      <c r="F223" s="280">
        <f>SUM(F224:F225)</f>
        <v>3150</v>
      </c>
      <c r="G223" s="281">
        <f t="shared" si="3"/>
        <v>0.984375</v>
      </c>
    </row>
    <row r="224" spans="1:9">
      <c r="A224" s="289"/>
      <c r="B224" s="289"/>
      <c r="C224" s="289"/>
      <c r="D224" s="283" t="s">
        <v>396</v>
      </c>
      <c r="E224" s="284">
        <f>SUM('Pd Mich'!F31)</f>
        <v>1800</v>
      </c>
      <c r="F224" s="284">
        <f>SUM('Pd Mich'!G31)</f>
        <v>1750</v>
      </c>
      <c r="G224" s="285">
        <f t="shared" si="3"/>
        <v>0.97222222222222221</v>
      </c>
    </row>
    <row r="225" spans="1:7">
      <c r="A225" s="289"/>
      <c r="B225" s="289"/>
      <c r="C225" s="289"/>
      <c r="D225" s="283" t="s">
        <v>397</v>
      </c>
      <c r="E225" s="284">
        <f>'ZSP NW'!E89</f>
        <v>1400</v>
      </c>
      <c r="F225" s="284">
        <f>'ZSP NW'!F89</f>
        <v>1400</v>
      </c>
      <c r="G225" s="285">
        <f t="shared" si="3"/>
        <v>1</v>
      </c>
    </row>
    <row r="226" spans="1:7">
      <c r="A226" s="289"/>
      <c r="B226" s="289"/>
      <c r="C226" s="287">
        <v>4390</v>
      </c>
      <c r="D226" s="279" t="s">
        <v>111</v>
      </c>
      <c r="E226" s="280">
        <f>SUM(E227:E228)</f>
        <v>830</v>
      </c>
      <c r="F226" s="280">
        <f>SUM(F227:F228)</f>
        <v>1000</v>
      </c>
      <c r="G226" s="285">
        <f t="shared" si="3"/>
        <v>1.2048192771084338</v>
      </c>
    </row>
    <row r="227" spans="1:7">
      <c r="A227" s="289"/>
      <c r="B227" s="289"/>
      <c r="C227" s="287"/>
      <c r="D227" s="283" t="s">
        <v>113</v>
      </c>
      <c r="E227" s="284">
        <f>'Pd Mich'!F33</f>
        <v>630</v>
      </c>
      <c r="F227" s="284">
        <f>'Pd Mich'!G33</f>
        <v>800</v>
      </c>
      <c r="G227" s="285">
        <f t="shared" si="3"/>
        <v>1.2698412698412698</v>
      </c>
    </row>
    <row r="228" spans="1:7">
      <c r="A228" s="289"/>
      <c r="B228" s="289"/>
      <c r="C228" s="287"/>
      <c r="D228" s="283" t="s">
        <v>112</v>
      </c>
      <c r="E228" s="284">
        <f>'ZSP NW'!E91</f>
        <v>200</v>
      </c>
      <c r="F228" s="284">
        <f>'ZSP NW'!F91</f>
        <v>200</v>
      </c>
      <c r="G228" s="285">
        <f t="shared" si="3"/>
        <v>1</v>
      </c>
    </row>
    <row r="229" spans="1:7" ht="16.5" customHeight="1">
      <c r="A229" s="289"/>
      <c r="B229" s="289"/>
      <c r="C229" s="287">
        <v>4410</v>
      </c>
      <c r="D229" s="279" t="s">
        <v>203</v>
      </c>
      <c r="E229" s="280">
        <f>SUM(E230:E231)</f>
        <v>1930</v>
      </c>
      <c r="F229" s="280">
        <f>SUM(F230:F231)</f>
        <v>2000</v>
      </c>
      <c r="G229" s="281">
        <f t="shared" si="3"/>
        <v>1.0362694300518134</v>
      </c>
    </row>
    <row r="230" spans="1:7" ht="30" customHeight="1">
      <c r="A230" s="289"/>
      <c r="B230" s="289"/>
      <c r="C230" s="289"/>
      <c r="D230" s="283" t="s">
        <v>10</v>
      </c>
      <c r="E230" s="284">
        <f>SUM('Pd Mich'!F36)</f>
        <v>1630</v>
      </c>
      <c r="F230" s="284">
        <f>SUM('Pd Mich'!G36)</f>
        <v>1700</v>
      </c>
      <c r="G230" s="285">
        <f t="shared" si="3"/>
        <v>1.0429447852760736</v>
      </c>
    </row>
    <row r="231" spans="1:7" ht="17.25" customHeight="1">
      <c r="A231" s="289"/>
      <c r="B231" s="289"/>
      <c r="C231" s="289"/>
      <c r="D231" s="283" t="s">
        <v>380</v>
      </c>
      <c r="E231" s="284">
        <f>'ZSP NW'!E93</f>
        <v>300</v>
      </c>
      <c r="F231" s="284">
        <f>'ZSP NW'!F93</f>
        <v>300</v>
      </c>
      <c r="G231" s="285">
        <f t="shared" si="3"/>
        <v>1</v>
      </c>
    </row>
    <row r="232" spans="1:7" ht="16.5" customHeight="1">
      <c r="A232" s="289"/>
      <c r="B232" s="289"/>
      <c r="C232" s="287">
        <v>4430</v>
      </c>
      <c r="D232" s="279" t="s">
        <v>413</v>
      </c>
      <c r="E232" s="280">
        <f>SUM(E233:E234)</f>
        <v>2250</v>
      </c>
      <c r="F232" s="280">
        <f>SUM(F233:F234)</f>
        <v>2250</v>
      </c>
      <c r="G232" s="281">
        <f t="shared" si="3"/>
        <v>1</v>
      </c>
    </row>
    <row r="233" spans="1:7" ht="17.25" customHeight="1">
      <c r="A233" s="289"/>
      <c r="B233" s="289"/>
      <c r="C233" s="289"/>
      <c r="D233" s="283" t="s">
        <v>60</v>
      </c>
      <c r="E233" s="284">
        <f>SUM('Pd Mich'!F38)</f>
        <v>1500</v>
      </c>
      <c r="F233" s="284">
        <f>SUM('Pd Mich'!G38)</f>
        <v>1500</v>
      </c>
      <c r="G233" s="285">
        <f t="shared" si="3"/>
        <v>1</v>
      </c>
    </row>
    <row r="234" spans="1:7" ht="17.25" customHeight="1">
      <c r="A234" s="289"/>
      <c r="B234" s="289"/>
      <c r="C234" s="289"/>
      <c r="D234" s="283" t="s">
        <v>61</v>
      </c>
      <c r="E234" s="284">
        <f>'ZSP NW'!E94</f>
        <v>750</v>
      </c>
      <c r="F234" s="284">
        <f>'ZSP NW'!F94</f>
        <v>750</v>
      </c>
      <c r="G234" s="285">
        <f t="shared" si="3"/>
        <v>1</v>
      </c>
    </row>
    <row r="235" spans="1:7" ht="18" customHeight="1">
      <c r="A235" s="289"/>
      <c r="B235" s="289"/>
      <c r="C235" s="287">
        <v>4440</v>
      </c>
      <c r="D235" s="279" t="s">
        <v>317</v>
      </c>
      <c r="E235" s="280">
        <f>SUM(E236:E237)</f>
        <v>122982</v>
      </c>
      <c r="F235" s="280">
        <f>SUM(F236:F237)</f>
        <v>120470</v>
      </c>
      <c r="G235" s="281">
        <f t="shared" si="3"/>
        <v>0.9795742466377193</v>
      </c>
    </row>
    <row r="236" spans="1:7" ht="32.25" customHeight="1">
      <c r="A236" s="289"/>
      <c r="B236" s="289"/>
      <c r="C236" s="289"/>
      <c r="D236" s="283" t="s">
        <v>451</v>
      </c>
      <c r="E236" s="284">
        <f>SUM('Pd Mich'!F39)</f>
        <v>88621</v>
      </c>
      <c r="F236" s="284">
        <f>SUM('Pd Mich'!G39)</f>
        <v>88643</v>
      </c>
      <c r="G236" s="285">
        <f t="shared" si="3"/>
        <v>1.0002482481578858</v>
      </c>
    </row>
    <row r="237" spans="1:7" ht="32.25" customHeight="1">
      <c r="A237" s="289"/>
      <c r="B237" s="289"/>
      <c r="C237" s="289"/>
      <c r="D237" s="283" t="s">
        <v>458</v>
      </c>
      <c r="E237" s="284">
        <f>'ZSP NW'!E96</f>
        <v>34361</v>
      </c>
      <c r="F237" s="284">
        <f>'ZSP NW'!F96</f>
        <v>31827</v>
      </c>
      <c r="G237" s="285">
        <f t="shared" si="3"/>
        <v>0.92625360146677915</v>
      </c>
    </row>
    <row r="238" spans="1:7" ht="15.75" customHeight="1">
      <c r="A238" s="289"/>
      <c r="B238" s="289"/>
      <c r="C238" s="287">
        <v>4700</v>
      </c>
      <c r="D238" s="279" t="s">
        <v>87</v>
      </c>
      <c r="E238" s="280">
        <f>SUM(E239:E240)</f>
        <v>1200</v>
      </c>
      <c r="F238" s="280">
        <f>SUM(F239:F240)</f>
        <v>1700</v>
      </c>
      <c r="G238" s="281">
        <f t="shared" si="3"/>
        <v>1.4166666666666667</v>
      </c>
    </row>
    <row r="239" spans="1:7">
      <c r="A239" s="289"/>
      <c r="B239" s="289"/>
      <c r="C239" s="289"/>
      <c r="D239" s="283" t="s">
        <v>78</v>
      </c>
      <c r="E239" s="284">
        <f>SUM('Pd Mich'!F41)</f>
        <v>1200</v>
      </c>
      <c r="F239" s="284">
        <f>SUM('Pd Mich'!G41)</f>
        <v>1200</v>
      </c>
      <c r="G239" s="285">
        <f t="shared" si="3"/>
        <v>1</v>
      </c>
    </row>
    <row r="240" spans="1:7">
      <c r="A240" s="289"/>
      <c r="B240" s="289"/>
      <c r="C240" s="289"/>
      <c r="D240" s="283" t="s">
        <v>332</v>
      </c>
      <c r="E240" s="284">
        <f>'ZSP NW'!E98</f>
        <v>0</v>
      </c>
      <c r="F240" s="284">
        <f>'ZSP NW'!F98</f>
        <v>500</v>
      </c>
      <c r="G240" s="285" t="e">
        <f t="shared" si="3"/>
        <v>#DIV/0!</v>
      </c>
    </row>
    <row r="241" spans="1:9" ht="14.45" hidden="1" customHeight="1">
      <c r="A241" s="289"/>
      <c r="B241" s="289"/>
      <c r="C241" s="311">
        <f>'Pd Mich'!C42</f>
        <v>6060</v>
      </c>
      <c r="D241" s="312" t="str">
        <f>'Pd Mich'!D42</f>
        <v xml:space="preserve">Wydatki na zakupy inwestycyjne jednostek budżetowych    </v>
      </c>
      <c r="E241" s="313">
        <f>SUM(E242+E243)</f>
        <v>0</v>
      </c>
      <c r="F241" s="313">
        <f>SUM(F242+F243)</f>
        <v>0</v>
      </c>
      <c r="G241" s="303" t="e">
        <f t="shared" si="3"/>
        <v>#DIV/0!</v>
      </c>
      <c r="I241" s="298"/>
    </row>
    <row r="242" spans="1:9" ht="16.899999999999999" hidden="1" customHeight="1">
      <c r="A242" s="289"/>
      <c r="B242" s="289"/>
      <c r="C242" s="311"/>
      <c r="D242" s="314" t="s">
        <v>615</v>
      </c>
      <c r="E242" s="291">
        <f>SUM('Pd Mich'!F43)</f>
        <v>0</v>
      </c>
      <c r="F242" s="291">
        <f>SUM('Pd Mich'!G43)</f>
        <v>0</v>
      </c>
      <c r="G242" s="292" t="e">
        <f t="shared" si="3"/>
        <v>#DIV/0!</v>
      </c>
    </row>
    <row r="243" spans="1:9" ht="16.899999999999999" hidden="1" customHeight="1">
      <c r="A243" s="289"/>
      <c r="B243" s="289"/>
      <c r="C243" s="311"/>
      <c r="D243" s="314" t="s">
        <v>623</v>
      </c>
      <c r="E243" s="291">
        <f>'ZSP NW'!E99</f>
        <v>0</v>
      </c>
      <c r="F243" s="291">
        <f>'ZSP NW'!F99</f>
        <v>0</v>
      </c>
      <c r="G243" s="292" t="e">
        <f t="shared" si="3"/>
        <v>#DIV/0!</v>
      </c>
    </row>
    <row r="244" spans="1:9">
      <c r="A244" s="659" t="s">
        <v>376</v>
      </c>
      <c r="B244" s="660"/>
      <c r="C244" s="660"/>
      <c r="D244" s="661"/>
      <c r="E244" s="291">
        <f>SUM(E176+E179+E184+E187+E190+E193+E195+E198+E200+E203+E206+E209+E212+E217+E220+E223+E226+E229+E232+E235+E238+E241)</f>
        <v>3586469</v>
      </c>
      <c r="F244" s="291">
        <f>SUM(F176+F179+F184+F187+F190+F193+F195+F198+F200+F203+F206+F209+F212+F217+F220+F223+F226+F229+F232+F235+F238+F241)</f>
        <v>3951170</v>
      </c>
      <c r="G244" s="292">
        <f t="shared" si="3"/>
        <v>1.1016880391270634</v>
      </c>
      <c r="H244" s="298">
        <f>'ZSP NW'!F101+'Pd Mich'!G44</f>
        <v>3951170</v>
      </c>
      <c r="I244" s="315"/>
    </row>
    <row r="245" spans="1:9">
      <c r="A245" s="287">
        <v>801</v>
      </c>
      <c r="B245" s="287">
        <v>80110</v>
      </c>
      <c r="C245" s="287">
        <v>3020</v>
      </c>
      <c r="D245" s="279" t="s">
        <v>96</v>
      </c>
      <c r="E245" s="280">
        <f>SUM(E246:E248)</f>
        <v>195680</v>
      </c>
      <c r="F245" s="280">
        <f>SUM(F246:F248)</f>
        <v>57380</v>
      </c>
      <c r="G245" s="281">
        <f t="shared" ref="G245:G280" si="4">SUM(F245/E245)</f>
        <v>0.29323385118560918</v>
      </c>
      <c r="I245" s="274"/>
    </row>
    <row r="246" spans="1:9" ht="30">
      <c r="A246" s="289"/>
      <c r="B246" s="289"/>
      <c r="C246" s="289"/>
      <c r="D246" s="21" t="s">
        <v>799</v>
      </c>
      <c r="E246" s="284">
        <f>'ZSO Kom'!E60</f>
        <v>56920</v>
      </c>
      <c r="F246" s="284">
        <f>SUM('ZSO Kom'!F60)</f>
        <v>22100</v>
      </c>
      <c r="G246" s="285">
        <f t="shared" si="4"/>
        <v>0.38826423049894587</v>
      </c>
      <c r="I246" s="274"/>
    </row>
    <row r="247" spans="1:9" ht="30">
      <c r="A247" s="289"/>
      <c r="B247" s="289"/>
      <c r="C247" s="289"/>
      <c r="D247" s="21" t="s">
        <v>800</v>
      </c>
      <c r="E247" s="284">
        <f>SUM('ZS Mich'!E62)</f>
        <v>75000</v>
      </c>
      <c r="F247" s="284">
        <f>SUM('ZS Mich'!F62)</f>
        <v>18780</v>
      </c>
      <c r="G247" s="285">
        <f t="shared" si="4"/>
        <v>0.25040000000000001</v>
      </c>
      <c r="I247" s="274"/>
    </row>
    <row r="248" spans="1:9" ht="30">
      <c r="A248" s="289"/>
      <c r="B248" s="289"/>
      <c r="C248" s="289"/>
      <c r="D248" s="21" t="s">
        <v>801</v>
      </c>
      <c r="E248" s="284">
        <f>SUM('ZSP NW'!E102)</f>
        <v>63760</v>
      </c>
      <c r="F248" s="284">
        <f>SUM('ZSP NW'!F102)</f>
        <v>16500</v>
      </c>
      <c r="G248" s="285">
        <f t="shared" si="4"/>
        <v>0.25878293601003766</v>
      </c>
      <c r="I248" s="274"/>
    </row>
    <row r="249" spans="1:9">
      <c r="A249" s="289" t="s">
        <v>345</v>
      </c>
      <c r="B249" s="289" t="s">
        <v>346</v>
      </c>
      <c r="C249" s="287">
        <v>4010</v>
      </c>
      <c r="D249" s="279" t="s">
        <v>348</v>
      </c>
      <c r="E249" s="280">
        <f>SUM(E250:E255)</f>
        <v>2814687</v>
      </c>
      <c r="F249" s="280">
        <f>SUM(F250:F255)</f>
        <v>1402000</v>
      </c>
      <c r="G249" s="281">
        <f t="shared" si="4"/>
        <v>0.49810156511185794</v>
      </c>
      <c r="I249" s="274"/>
    </row>
    <row r="250" spans="1:9" ht="32.25" customHeight="1">
      <c r="A250" s="289"/>
      <c r="B250" s="289"/>
      <c r="C250" s="289"/>
      <c r="D250" s="21" t="s">
        <v>802</v>
      </c>
      <c r="E250" s="284">
        <f>SUM('ZSO Kom'!E64)</f>
        <v>923427</v>
      </c>
      <c r="F250" s="284">
        <f>SUM('ZSO Kom'!F64)</f>
        <v>588400</v>
      </c>
      <c r="G250" s="285">
        <f t="shared" si="4"/>
        <v>0.63719167838930424</v>
      </c>
      <c r="I250" s="274"/>
    </row>
    <row r="251" spans="1:9" ht="17.25" customHeight="1">
      <c r="A251" s="289"/>
      <c r="B251" s="289"/>
      <c r="C251" s="289"/>
      <c r="D251" s="283" t="str">
        <f>'ZSO Kom'!D65</f>
        <v xml:space="preserve"> nagrody jubileuszowe (3)</v>
      </c>
      <c r="E251" s="284">
        <f>SUM('ZSO Kom'!E65)</f>
        <v>55700</v>
      </c>
      <c r="F251" s="284">
        <f>SUM('ZSO Kom'!F65)</f>
        <v>16600</v>
      </c>
      <c r="G251" s="285">
        <f t="shared" si="4"/>
        <v>0.29802513464991021</v>
      </c>
      <c r="I251" s="274"/>
    </row>
    <row r="252" spans="1:9" ht="30.75" customHeight="1">
      <c r="A252" s="289"/>
      <c r="B252" s="289"/>
      <c r="C252" s="289"/>
      <c r="D252" s="283" t="s">
        <v>580</v>
      </c>
      <c r="E252" s="284">
        <f>SUM('ZS Mich'!E66)</f>
        <v>1085020</v>
      </c>
      <c r="F252" s="284">
        <f>SUM('ZS Mich'!F66)</f>
        <v>450000</v>
      </c>
      <c r="G252" s="285">
        <f t="shared" si="4"/>
        <v>0.41473889882214154</v>
      </c>
      <c r="I252" s="274"/>
    </row>
    <row r="253" spans="1:9" ht="18.75" customHeight="1">
      <c r="A253" s="289"/>
      <c r="B253" s="289"/>
      <c r="C253" s="289"/>
      <c r="D253" s="283" t="str">
        <f>'ZS Mich'!D67</f>
        <v xml:space="preserve"> nagrody jubileuszowe (1), odprawy emerytalne (1)</v>
      </c>
      <c r="E253" s="284">
        <f>SUM('ZS Mich'!E67)</f>
        <v>7500</v>
      </c>
      <c r="F253" s="284">
        <f>SUM('ZS Mich'!F67)</f>
        <v>18000</v>
      </c>
      <c r="G253" s="285">
        <f t="shared" si="4"/>
        <v>2.4</v>
      </c>
      <c r="I253" s="274"/>
    </row>
    <row r="254" spans="1:9" ht="33" customHeight="1">
      <c r="A254" s="289"/>
      <c r="B254" s="289"/>
      <c r="C254" s="289"/>
      <c r="D254" s="283" t="s">
        <v>579</v>
      </c>
      <c r="E254" s="284">
        <f>SUM('ZSP NW'!E106)</f>
        <v>718040</v>
      </c>
      <c r="F254" s="284">
        <f>SUM('ZSP NW'!F106)</f>
        <v>329000</v>
      </c>
      <c r="G254" s="285">
        <f t="shared" si="4"/>
        <v>0.45819174419252412</v>
      </c>
      <c r="I254" s="274"/>
    </row>
    <row r="255" spans="1:9" ht="18.75" customHeight="1">
      <c r="A255" s="289"/>
      <c r="B255" s="289"/>
      <c r="C255" s="289"/>
      <c r="D255" s="283" t="str">
        <f>'ZSP NW'!D107</f>
        <v>nagrody jubileuszowe, odprawy emerytalne</v>
      </c>
      <c r="E255" s="284">
        <f>'ZSP NW'!E107</f>
        <v>25000</v>
      </c>
      <c r="F255" s="284">
        <f>'ZSP NW'!F107</f>
        <v>0</v>
      </c>
      <c r="G255" s="285">
        <f t="shared" si="4"/>
        <v>0</v>
      </c>
      <c r="I255" s="274"/>
    </row>
    <row r="256" spans="1:9">
      <c r="A256" s="289" t="s">
        <v>345</v>
      </c>
      <c r="B256" s="289" t="s">
        <v>346</v>
      </c>
      <c r="C256" s="287">
        <v>4040</v>
      </c>
      <c r="D256" s="279" t="s">
        <v>349</v>
      </c>
      <c r="E256" s="280">
        <f>SUM(E257:E259)</f>
        <v>286000</v>
      </c>
      <c r="F256" s="280">
        <f>SUM(F257:F259)</f>
        <v>244400</v>
      </c>
      <c r="G256" s="281">
        <f t="shared" si="4"/>
        <v>0.8545454545454545</v>
      </c>
      <c r="I256" s="274"/>
    </row>
    <row r="257" spans="1:9" ht="30" customHeight="1">
      <c r="A257" s="289"/>
      <c r="B257" s="289"/>
      <c r="C257" s="289"/>
      <c r="D257" s="283" t="s">
        <v>421</v>
      </c>
      <c r="E257" s="284">
        <f>SUM('ZSO Kom'!E66)</f>
        <v>101000</v>
      </c>
      <c r="F257" s="284">
        <f>SUM('ZSO Kom'!F66)</f>
        <v>94000</v>
      </c>
      <c r="G257" s="285">
        <f t="shared" si="4"/>
        <v>0.93069306930693074</v>
      </c>
      <c r="I257" s="274"/>
    </row>
    <row r="258" spans="1:9" ht="30.75" customHeight="1">
      <c r="A258" s="289"/>
      <c r="B258" s="289"/>
      <c r="C258" s="289"/>
      <c r="D258" s="283" t="s">
        <v>143</v>
      </c>
      <c r="E258" s="284">
        <f>SUM('ZS Mich'!E68)</f>
        <v>114000</v>
      </c>
      <c r="F258" s="284">
        <f>SUM('ZS Mich'!F68)</f>
        <v>88400</v>
      </c>
      <c r="G258" s="285">
        <f t="shared" si="4"/>
        <v>0.77543859649122804</v>
      </c>
      <c r="I258" s="274"/>
    </row>
    <row r="259" spans="1:9" ht="29.25" customHeight="1">
      <c r="A259" s="289"/>
      <c r="B259" s="289"/>
      <c r="C259" s="289"/>
      <c r="D259" s="283" t="s">
        <v>65</v>
      </c>
      <c r="E259" s="284">
        <f>SUM('ZSP NW'!E108)</f>
        <v>71000</v>
      </c>
      <c r="F259" s="284">
        <f>SUM('ZSP NW'!F108)</f>
        <v>62000</v>
      </c>
      <c r="G259" s="285">
        <f t="shared" si="4"/>
        <v>0.87323943661971826</v>
      </c>
      <c r="I259" s="274"/>
    </row>
    <row r="260" spans="1:9">
      <c r="A260" s="289" t="s">
        <v>345</v>
      </c>
      <c r="B260" s="289" t="s">
        <v>346</v>
      </c>
      <c r="C260" s="287">
        <v>4110</v>
      </c>
      <c r="D260" s="279" t="s">
        <v>446</v>
      </c>
      <c r="E260" s="280">
        <f>SUM(E261:E263)</f>
        <v>581986</v>
      </c>
      <c r="F260" s="280">
        <f>SUM(F261:F263)</f>
        <v>294500</v>
      </c>
      <c r="G260" s="281">
        <f t="shared" si="4"/>
        <v>0.50602591814923381</v>
      </c>
      <c r="I260" s="274"/>
    </row>
    <row r="261" spans="1:9">
      <c r="A261" s="289"/>
      <c r="B261" s="289"/>
      <c r="C261" s="289"/>
      <c r="D261" s="283" t="s">
        <v>107</v>
      </c>
      <c r="E261" s="284">
        <f>SUM('ZSO Kom'!E67)</f>
        <v>201366</v>
      </c>
      <c r="F261" s="284">
        <f>SUM('ZSO Kom'!F67)</f>
        <v>128000</v>
      </c>
      <c r="G261" s="285">
        <f t="shared" si="4"/>
        <v>0.63565845276759736</v>
      </c>
      <c r="I261" s="274"/>
    </row>
    <row r="262" spans="1:9">
      <c r="A262" s="289"/>
      <c r="B262" s="289"/>
      <c r="C262" s="289"/>
      <c r="D262" s="283" t="s">
        <v>108</v>
      </c>
      <c r="E262" s="284">
        <f>SUM('ZS Mich'!E69)</f>
        <v>223630</v>
      </c>
      <c r="F262" s="284">
        <f>SUM('ZS Mich'!F69)</f>
        <v>95500</v>
      </c>
      <c r="G262" s="285">
        <f t="shared" si="4"/>
        <v>0.42704467200286189</v>
      </c>
      <c r="I262" s="274"/>
    </row>
    <row r="263" spans="1:9">
      <c r="A263" s="289"/>
      <c r="B263" s="289"/>
      <c r="C263" s="289"/>
      <c r="D263" s="283" t="s">
        <v>109</v>
      </c>
      <c r="E263" s="284">
        <f>SUM('ZSP NW'!E109)</f>
        <v>156990</v>
      </c>
      <c r="F263" s="284">
        <f>SUM('ZSP NW'!F109)</f>
        <v>71000</v>
      </c>
      <c r="G263" s="285">
        <f t="shared" si="4"/>
        <v>0.45225810561182239</v>
      </c>
    </row>
    <row r="264" spans="1:9">
      <c r="A264" s="289" t="s">
        <v>345</v>
      </c>
      <c r="B264" s="289" t="s">
        <v>346</v>
      </c>
      <c r="C264" s="287">
        <v>4120</v>
      </c>
      <c r="D264" s="279" t="s">
        <v>301</v>
      </c>
      <c r="E264" s="280">
        <f>SUM(E265:E267)</f>
        <v>74544</v>
      </c>
      <c r="F264" s="280">
        <f>SUM(F265:F267)</f>
        <v>36200</v>
      </c>
      <c r="G264" s="281">
        <f t="shared" si="4"/>
        <v>0.48561923159476283</v>
      </c>
      <c r="I264" s="274"/>
    </row>
    <row r="265" spans="1:9">
      <c r="A265" s="289"/>
      <c r="B265" s="289"/>
      <c r="C265" s="289"/>
      <c r="D265" s="283" t="s">
        <v>429</v>
      </c>
      <c r="E265" s="284">
        <f>SUM('ZSO Kom'!E68)</f>
        <v>26034</v>
      </c>
      <c r="F265" s="284">
        <f>SUM('ZSO Kom'!F68)</f>
        <v>15200</v>
      </c>
      <c r="G265" s="285">
        <f t="shared" si="4"/>
        <v>0.58385188599523696</v>
      </c>
    </row>
    <row r="266" spans="1:9">
      <c r="A266" s="289"/>
      <c r="B266" s="289"/>
      <c r="C266" s="289"/>
      <c r="D266" s="283" t="s">
        <v>430</v>
      </c>
      <c r="E266" s="284">
        <f>SUM('ZS Mich'!E70)</f>
        <v>29060</v>
      </c>
      <c r="F266" s="284">
        <f>SUM('ZS Mich'!F70)</f>
        <v>12000</v>
      </c>
      <c r="G266" s="285">
        <f t="shared" si="4"/>
        <v>0.41293874741913283</v>
      </c>
    </row>
    <row r="267" spans="1:9">
      <c r="A267" s="289"/>
      <c r="B267" s="289"/>
      <c r="C267" s="289"/>
      <c r="D267" s="283" t="s">
        <v>431</v>
      </c>
      <c r="E267" s="284">
        <f>SUM('ZSP NW'!E110)</f>
        <v>19450</v>
      </c>
      <c r="F267" s="284">
        <f>SUM('ZSP NW'!F110)</f>
        <v>9000</v>
      </c>
      <c r="G267" s="285">
        <f t="shared" si="4"/>
        <v>0.46272493573264784</v>
      </c>
    </row>
    <row r="268" spans="1:9">
      <c r="A268" s="289"/>
      <c r="B268" s="289"/>
      <c r="C268" s="287">
        <v>4170</v>
      </c>
      <c r="D268" s="279" t="s">
        <v>235</v>
      </c>
      <c r="E268" s="280">
        <f>SUM(E269+E271+E270)</f>
        <v>3000</v>
      </c>
      <c r="F268" s="280">
        <f>SUM(F269:F271)</f>
        <v>0</v>
      </c>
      <c r="G268" s="281">
        <f t="shared" si="4"/>
        <v>0</v>
      </c>
      <c r="I268" s="274"/>
    </row>
    <row r="269" spans="1:9" ht="30">
      <c r="A269" s="289"/>
      <c r="B269" s="289"/>
      <c r="C269" s="289"/>
      <c r="D269" s="283" t="s">
        <v>216</v>
      </c>
      <c r="E269" s="284">
        <f>SUM('ZSO Kom'!E70)</f>
        <v>3000</v>
      </c>
      <c r="F269" s="284">
        <f>SUM('ZSO Kom'!F70)</f>
        <v>0</v>
      </c>
      <c r="G269" s="285">
        <f t="shared" si="4"/>
        <v>0</v>
      </c>
    </row>
    <row r="270" spans="1:9" ht="30" hidden="1" customHeight="1">
      <c r="A270" s="289"/>
      <c r="B270" s="289"/>
      <c r="C270" s="289"/>
      <c r="D270" s="297" t="s">
        <v>144</v>
      </c>
      <c r="E270" s="284">
        <f>SUM('ZS Mich'!E72)</f>
        <v>0</v>
      </c>
      <c r="F270" s="284">
        <f>SUM('ZS Mich'!F72)</f>
        <v>0</v>
      </c>
      <c r="G270" s="285" t="e">
        <f t="shared" si="4"/>
        <v>#DIV/0!</v>
      </c>
    </row>
    <row r="271" spans="1:9" ht="19.5" hidden="1" customHeight="1">
      <c r="A271" s="289"/>
      <c r="B271" s="289"/>
      <c r="C271" s="289"/>
      <c r="D271" s="283" t="s">
        <v>226</v>
      </c>
      <c r="E271" s="284">
        <f>SUM('ZSP NW'!E112)</f>
        <v>0</v>
      </c>
      <c r="F271" s="284">
        <f>SUM('ZSP NW'!F112)</f>
        <v>0</v>
      </c>
      <c r="G271" s="285" t="e">
        <f t="shared" si="4"/>
        <v>#DIV/0!</v>
      </c>
    </row>
    <row r="272" spans="1:9" ht="19.5" customHeight="1">
      <c r="A272" s="289"/>
      <c r="B272" s="289"/>
      <c r="C272" s="287">
        <v>4190</v>
      </c>
      <c r="D272" s="293" t="s">
        <v>452</v>
      </c>
      <c r="E272" s="284">
        <f>SUM(E273:E275)</f>
        <v>1400</v>
      </c>
      <c r="F272" s="284">
        <f>SUM(F273:F275)</f>
        <v>900</v>
      </c>
      <c r="G272" s="285">
        <f t="shared" si="4"/>
        <v>0.6428571428571429</v>
      </c>
      <c r="I272" s="274"/>
    </row>
    <row r="273" spans="1:9" ht="19.5" customHeight="1">
      <c r="A273" s="289"/>
      <c r="B273" s="289"/>
      <c r="C273" s="289"/>
      <c r="D273" s="283" t="s">
        <v>466</v>
      </c>
      <c r="E273" s="284">
        <f>'ZSO Kom'!E72</f>
        <v>600</v>
      </c>
      <c r="F273" s="284">
        <f>'ZSO Kom'!F72</f>
        <v>400</v>
      </c>
      <c r="G273" s="285">
        <f t="shared" si="4"/>
        <v>0.66666666666666663</v>
      </c>
    </row>
    <row r="274" spans="1:9" ht="19.5" customHeight="1">
      <c r="A274" s="289"/>
      <c r="B274" s="289"/>
      <c r="C274" s="289"/>
      <c r="D274" s="297" t="s">
        <v>467</v>
      </c>
      <c r="E274" s="284">
        <f>'ZS Mich'!E73</f>
        <v>0</v>
      </c>
      <c r="F274" s="284">
        <f>'ZS Mich'!F73</f>
        <v>0</v>
      </c>
      <c r="G274" s="285" t="e">
        <f t="shared" si="4"/>
        <v>#DIV/0!</v>
      </c>
    </row>
    <row r="275" spans="1:9" ht="19.5" customHeight="1">
      <c r="A275" s="289"/>
      <c r="B275" s="289"/>
      <c r="C275" s="289"/>
      <c r="D275" s="297" t="s">
        <v>468</v>
      </c>
      <c r="E275" s="284">
        <f>'ZSP NW'!E113</f>
        <v>800</v>
      </c>
      <c r="F275" s="284">
        <f>'ZSP NW'!F113</f>
        <v>500</v>
      </c>
      <c r="G275" s="285">
        <f t="shared" si="4"/>
        <v>0.625</v>
      </c>
    </row>
    <row r="276" spans="1:9">
      <c r="A276" s="289" t="s">
        <v>345</v>
      </c>
      <c r="B276" s="289" t="s">
        <v>346</v>
      </c>
      <c r="C276" s="287">
        <v>4210</v>
      </c>
      <c r="D276" s="279" t="s">
        <v>274</v>
      </c>
      <c r="E276" s="280">
        <f>SUM(E277:E279)</f>
        <v>74610</v>
      </c>
      <c r="F276" s="280">
        <f>SUM(F277:F279)</f>
        <v>45100</v>
      </c>
      <c r="G276" s="281">
        <f t="shared" si="4"/>
        <v>0.60447661171424738</v>
      </c>
      <c r="I276" s="274"/>
    </row>
    <row r="277" spans="1:9" ht="46.9" customHeight="1">
      <c r="A277" s="289"/>
      <c r="B277" s="289"/>
      <c r="C277" s="289"/>
      <c r="D277" s="283" t="s">
        <v>662</v>
      </c>
      <c r="E277" s="284">
        <f>SUM('ZSO Kom'!E74)</f>
        <v>26000</v>
      </c>
      <c r="F277" s="284">
        <f>SUM('ZSO Kom'!F74)</f>
        <v>12600</v>
      </c>
      <c r="G277" s="285">
        <f t="shared" si="4"/>
        <v>0.48461538461538461</v>
      </c>
    </row>
    <row r="278" spans="1:9" ht="45" customHeight="1">
      <c r="A278" s="289"/>
      <c r="B278" s="289"/>
      <c r="C278" s="289"/>
      <c r="D278" s="29" t="s">
        <v>793</v>
      </c>
      <c r="E278" s="284">
        <f>SUM('ZS Mich'!E76)</f>
        <v>23610</v>
      </c>
      <c r="F278" s="284">
        <f>SUM('ZS Mich'!F76)</f>
        <v>16000</v>
      </c>
      <c r="G278" s="285">
        <f t="shared" si="4"/>
        <v>0.67767894959762809</v>
      </c>
    </row>
    <row r="279" spans="1:9" ht="33.75" customHeight="1">
      <c r="A279" s="289"/>
      <c r="B279" s="289"/>
      <c r="C279" s="289"/>
      <c r="D279" s="29" t="s">
        <v>847</v>
      </c>
      <c r="E279" s="284">
        <f>SUM('ZSP NW'!E116)</f>
        <v>25000</v>
      </c>
      <c r="F279" s="284">
        <f>SUM('ZSP NW'!F116)</f>
        <v>16500</v>
      </c>
      <c r="G279" s="285">
        <f t="shared" si="4"/>
        <v>0.66</v>
      </c>
    </row>
    <row r="280" spans="1:9" ht="19.5" hidden="1" customHeight="1">
      <c r="A280" s="289"/>
      <c r="B280" s="289"/>
      <c r="C280" s="287">
        <v>4220</v>
      </c>
      <c r="D280" s="279" t="s">
        <v>492</v>
      </c>
      <c r="E280" s="280">
        <f>E281+E282+E283</f>
        <v>0</v>
      </c>
      <c r="F280" s="280">
        <f>F281+F282+F283</f>
        <v>0</v>
      </c>
      <c r="G280" s="281" t="e">
        <f t="shared" si="4"/>
        <v>#DIV/0!</v>
      </c>
    </row>
    <row r="281" spans="1:9" ht="22.15" hidden="1" customHeight="1">
      <c r="A281" s="289"/>
      <c r="B281" s="289"/>
      <c r="C281" s="289"/>
      <c r="D281" s="283" t="s">
        <v>494</v>
      </c>
      <c r="E281" s="284"/>
      <c r="F281" s="284"/>
      <c r="G281" s="285" t="e">
        <f>SUM(F281/E281)</f>
        <v>#DIV/0!</v>
      </c>
    </row>
    <row r="282" spans="1:9" ht="19.5" hidden="1" customHeight="1">
      <c r="A282" s="289"/>
      <c r="B282" s="289"/>
      <c r="C282" s="289"/>
      <c r="D282" s="283" t="s">
        <v>495</v>
      </c>
      <c r="E282" s="284"/>
      <c r="F282" s="284"/>
      <c r="G282" s="285" t="e">
        <f>SUM(F282/E282)</f>
        <v>#DIV/0!</v>
      </c>
    </row>
    <row r="283" spans="1:9" ht="0.75" hidden="1" customHeight="1">
      <c r="A283" s="289"/>
      <c r="B283" s="289"/>
      <c r="C283" s="289"/>
      <c r="D283" s="283" t="s">
        <v>496</v>
      </c>
      <c r="E283" s="284">
        <f>'ZSP NW'!E117</f>
        <v>0</v>
      </c>
      <c r="F283" s="284">
        <f>'ZSP NW'!F117</f>
        <v>0</v>
      </c>
      <c r="G283" s="285" t="e">
        <f>SUM(F283/E283)</f>
        <v>#DIV/0!</v>
      </c>
    </row>
    <row r="284" spans="1:9">
      <c r="A284" s="289" t="s">
        <v>345</v>
      </c>
      <c r="B284" s="289" t="s">
        <v>346</v>
      </c>
      <c r="C284" s="287">
        <v>4240</v>
      </c>
      <c r="D284" s="279" t="s">
        <v>179</v>
      </c>
      <c r="E284" s="280">
        <f>SUM(E285:E287)</f>
        <v>29565</v>
      </c>
      <c r="F284" s="280">
        <f>SUM(F285:F287)</f>
        <v>16700</v>
      </c>
      <c r="G284" s="281">
        <f t="shared" ref="G284:G347" si="5">SUM(F284/E284)</f>
        <v>0.5648570945374598</v>
      </c>
      <c r="I284" s="274"/>
    </row>
    <row r="285" spans="1:9" ht="18.75" customHeight="1">
      <c r="A285" s="289"/>
      <c r="B285" s="289"/>
      <c r="C285" s="289"/>
      <c r="D285" s="283" t="s">
        <v>245</v>
      </c>
      <c r="E285" s="284">
        <f>SUM('ZSO Kom'!E76)</f>
        <v>14000</v>
      </c>
      <c r="F285" s="284">
        <f>SUM('ZSO Kom'!F75)</f>
        <v>2700</v>
      </c>
      <c r="G285" s="285">
        <f t="shared" si="5"/>
        <v>0.19285714285714287</v>
      </c>
    </row>
    <row r="286" spans="1:9" ht="21.75" customHeight="1">
      <c r="A286" s="289"/>
      <c r="B286" s="289"/>
      <c r="C286" s="289"/>
      <c r="D286" s="283" t="s">
        <v>83</v>
      </c>
      <c r="E286" s="284">
        <f>'ZS Mich'!E80</f>
        <v>9000</v>
      </c>
      <c r="F286" s="284">
        <f>SUM('ZS Mich'!F79)</f>
        <v>5000</v>
      </c>
      <c r="G286" s="285">
        <f t="shared" si="5"/>
        <v>0.55555555555555558</v>
      </c>
    </row>
    <row r="287" spans="1:9" ht="20.45" customHeight="1">
      <c r="A287" s="289"/>
      <c r="B287" s="289"/>
      <c r="C287" s="289"/>
      <c r="D287" s="283" t="s">
        <v>576</v>
      </c>
      <c r="E287" s="284">
        <f>SUM('ZSP NW'!E120)</f>
        <v>6565</v>
      </c>
      <c r="F287" s="284">
        <f>SUM('ZSP NW'!F119)</f>
        <v>9000</v>
      </c>
      <c r="G287" s="285">
        <f t="shared" si="5"/>
        <v>1.3709063214013708</v>
      </c>
    </row>
    <row r="288" spans="1:9">
      <c r="A288" s="289" t="s">
        <v>345</v>
      </c>
      <c r="B288" s="289" t="s">
        <v>346</v>
      </c>
      <c r="C288" s="287">
        <v>4270</v>
      </c>
      <c r="D288" s="279" t="s">
        <v>238</v>
      </c>
      <c r="E288" s="280">
        <f>SUM(E289:E293)</f>
        <v>10600</v>
      </c>
      <c r="F288" s="280">
        <f>SUM(F289:F293)</f>
        <v>4000</v>
      </c>
      <c r="G288" s="281">
        <f t="shared" si="5"/>
        <v>0.37735849056603776</v>
      </c>
      <c r="I288" s="274"/>
    </row>
    <row r="289" spans="1:9" ht="21.75" customHeight="1">
      <c r="A289" s="289"/>
      <c r="B289" s="289"/>
      <c r="C289" s="289"/>
      <c r="D289" s="283" t="s">
        <v>362</v>
      </c>
      <c r="E289" s="284">
        <f>SUM('ZSO Kom'!E78)</f>
        <v>6600</v>
      </c>
      <c r="F289" s="284">
        <f>SUM('ZSO Kom'!F78)</f>
        <v>1500</v>
      </c>
      <c r="G289" s="285">
        <f t="shared" si="5"/>
        <v>0.22727272727272727</v>
      </c>
    </row>
    <row r="290" spans="1:9" ht="22.5" customHeight="1">
      <c r="A290" s="289"/>
      <c r="B290" s="289"/>
      <c r="C290" s="289"/>
      <c r="D290" s="283" t="s">
        <v>363</v>
      </c>
      <c r="E290" s="284">
        <f>SUM('ZS Mich'!E84)</f>
        <v>3000</v>
      </c>
      <c r="F290" s="284">
        <f>SUM('ZS Mich'!F84)</f>
        <v>1500</v>
      </c>
      <c r="G290" s="285">
        <f t="shared" si="5"/>
        <v>0.5</v>
      </c>
    </row>
    <row r="291" spans="1:9" ht="18.75" customHeight="1">
      <c r="A291" s="289"/>
      <c r="B291" s="289"/>
      <c r="C291" s="289"/>
      <c r="D291" s="283" t="s">
        <v>62</v>
      </c>
      <c r="E291" s="284">
        <f>SUM('ZSP NW'!E124)</f>
        <v>1000</v>
      </c>
      <c r="F291" s="284">
        <f>SUM('ZSP NW'!F124)</f>
        <v>1000</v>
      </c>
      <c r="G291" s="285">
        <f t="shared" si="5"/>
        <v>1</v>
      </c>
    </row>
    <row r="292" spans="1:9" ht="36.6" hidden="1" customHeight="1">
      <c r="A292" s="289"/>
      <c r="B292" s="289"/>
      <c r="C292" s="289"/>
      <c r="D292" s="296" t="s">
        <v>549</v>
      </c>
      <c r="E292" s="284">
        <f>'ZSO Kom'!E79</f>
        <v>0</v>
      </c>
      <c r="F292" s="284">
        <f>'ZSO Kom'!F79</f>
        <v>0</v>
      </c>
      <c r="G292" s="285" t="e">
        <f t="shared" si="5"/>
        <v>#DIV/0!</v>
      </c>
    </row>
    <row r="293" spans="1:9" ht="44.45" hidden="1" customHeight="1">
      <c r="A293" s="289"/>
      <c r="B293" s="289"/>
      <c r="C293" s="289"/>
      <c r="D293" s="297" t="s">
        <v>577</v>
      </c>
      <c r="E293" s="284">
        <f>'ZS Mich'!E85</f>
        <v>0</v>
      </c>
      <c r="F293" s="284">
        <f>SUM('ZS Mich'!F85)</f>
        <v>0</v>
      </c>
      <c r="G293" s="285" t="e">
        <f t="shared" si="5"/>
        <v>#DIV/0!</v>
      </c>
      <c r="I293" s="274"/>
    </row>
    <row r="294" spans="1:9">
      <c r="A294" s="289"/>
      <c r="B294" s="289"/>
      <c r="C294" s="287">
        <v>4280</v>
      </c>
      <c r="D294" s="279" t="s">
        <v>124</v>
      </c>
      <c r="E294" s="280">
        <f>SUM(E295:E297)</f>
        <v>4600</v>
      </c>
      <c r="F294" s="280">
        <f>SUM(F295:F297)</f>
        <v>1050</v>
      </c>
      <c r="G294" s="281">
        <f t="shared" si="5"/>
        <v>0.22826086956521738</v>
      </c>
      <c r="I294" s="274"/>
    </row>
    <row r="295" spans="1:9" ht="30">
      <c r="A295" s="289"/>
      <c r="B295" s="289"/>
      <c r="C295" s="289"/>
      <c r="D295" s="283" t="s">
        <v>323</v>
      </c>
      <c r="E295" s="284">
        <f>SUM('ZSO Kom'!E80)</f>
        <v>1100</v>
      </c>
      <c r="F295" s="284">
        <f>SUM('ZSO Kom'!F80)</f>
        <v>200</v>
      </c>
      <c r="G295" s="285">
        <f t="shared" si="5"/>
        <v>0.18181818181818182</v>
      </c>
    </row>
    <row r="296" spans="1:9" ht="30">
      <c r="A296" s="289"/>
      <c r="B296" s="289"/>
      <c r="C296" s="289"/>
      <c r="D296" s="283" t="s">
        <v>324</v>
      </c>
      <c r="E296" s="284">
        <f>SUM('ZS Mich'!E86)</f>
        <v>2500</v>
      </c>
      <c r="F296" s="284">
        <f>SUM('ZS Mich'!F86)</f>
        <v>500</v>
      </c>
      <c r="G296" s="285">
        <f t="shared" si="5"/>
        <v>0.2</v>
      </c>
    </row>
    <row r="297" spans="1:9" ht="30">
      <c r="A297" s="289"/>
      <c r="B297" s="289"/>
      <c r="C297" s="289"/>
      <c r="D297" s="283" t="s">
        <v>88</v>
      </c>
      <c r="E297" s="284">
        <f>SUM('ZSP NW'!E125)</f>
        <v>1000</v>
      </c>
      <c r="F297" s="284">
        <f>SUM('ZSP NW'!F125)</f>
        <v>350</v>
      </c>
      <c r="G297" s="285">
        <f t="shared" si="5"/>
        <v>0.35</v>
      </c>
    </row>
    <row r="298" spans="1:9">
      <c r="A298" s="289" t="s">
        <v>345</v>
      </c>
      <c r="B298" s="289" t="s">
        <v>346</v>
      </c>
      <c r="C298" s="287">
        <v>4300</v>
      </c>
      <c r="D298" s="279" t="s">
        <v>100</v>
      </c>
      <c r="E298" s="280">
        <f>SUM(E299:E301)</f>
        <v>42575</v>
      </c>
      <c r="F298" s="280">
        <f>SUM(F299:F301)</f>
        <v>26200</v>
      </c>
      <c r="G298" s="281">
        <f t="shared" si="5"/>
        <v>0.61538461538461542</v>
      </c>
      <c r="I298" s="274"/>
    </row>
    <row r="299" spans="1:9" ht="47.25" customHeight="1">
      <c r="A299" s="289"/>
      <c r="B299" s="289"/>
      <c r="C299" s="289"/>
      <c r="D299" s="27" t="s">
        <v>803</v>
      </c>
      <c r="E299" s="284">
        <f>'ZSO Kom'!E82</f>
        <v>10140</v>
      </c>
      <c r="F299" s="284">
        <f>SUM('ZSO Kom'!F82)</f>
        <v>8200</v>
      </c>
      <c r="G299" s="285">
        <f t="shared" si="5"/>
        <v>0.80867850098619332</v>
      </c>
    </row>
    <row r="300" spans="1:9" ht="45.75" customHeight="1">
      <c r="A300" s="289"/>
      <c r="B300" s="289"/>
      <c r="C300" s="289"/>
      <c r="D300" s="21" t="s">
        <v>795</v>
      </c>
      <c r="E300" s="284">
        <f>SUM('ZS Mich'!E88)</f>
        <v>15000</v>
      </c>
      <c r="F300" s="284">
        <f>SUM('ZS Mich'!F88)</f>
        <v>11000</v>
      </c>
      <c r="G300" s="285">
        <f t="shared" si="5"/>
        <v>0.73333333333333328</v>
      </c>
    </row>
    <row r="301" spans="1:9" ht="33.75" customHeight="1">
      <c r="A301" s="289"/>
      <c r="B301" s="289"/>
      <c r="C301" s="289"/>
      <c r="D301" s="27" t="s">
        <v>848</v>
      </c>
      <c r="E301" s="284">
        <f>SUM('ZSP NW'!E127)</f>
        <v>17435</v>
      </c>
      <c r="F301" s="284">
        <f>SUM('ZSP NW'!F127)</f>
        <v>7000</v>
      </c>
      <c r="G301" s="285">
        <f t="shared" si="5"/>
        <v>0.401491253226269</v>
      </c>
    </row>
    <row r="302" spans="1:9">
      <c r="A302" s="289"/>
      <c r="B302" s="289"/>
      <c r="C302" s="287">
        <v>4360</v>
      </c>
      <c r="D302" s="279" t="s">
        <v>188</v>
      </c>
      <c r="E302" s="280">
        <f>SUM(E303+E304)</f>
        <v>3350</v>
      </c>
      <c r="F302" s="280">
        <f>SUM(F303+F304)</f>
        <v>2200</v>
      </c>
      <c r="G302" s="281">
        <f t="shared" si="5"/>
        <v>0.65671641791044777</v>
      </c>
      <c r="I302" s="274"/>
    </row>
    <row r="303" spans="1:9" ht="17.45" customHeight="1">
      <c r="A303" s="289"/>
      <c r="B303" s="289"/>
      <c r="C303" s="289"/>
      <c r="D303" s="283" t="s">
        <v>189</v>
      </c>
      <c r="E303" s="284">
        <f>SUM('ZS Mich'!E90)</f>
        <v>850</v>
      </c>
      <c r="F303" s="284">
        <f>SUM('ZS Mich'!F90)</f>
        <v>700</v>
      </c>
      <c r="G303" s="285">
        <f t="shared" si="5"/>
        <v>0.82352941176470584</v>
      </c>
    </row>
    <row r="304" spans="1:9" ht="18.75" customHeight="1">
      <c r="A304" s="289"/>
      <c r="B304" s="289"/>
      <c r="C304" s="289"/>
      <c r="D304" s="283" t="s">
        <v>190</v>
      </c>
      <c r="E304" s="284">
        <f>SUM('ZSP NW'!E129)</f>
        <v>2500</v>
      </c>
      <c r="F304" s="284">
        <f>SUM('ZSP NW'!F129)</f>
        <v>1500</v>
      </c>
      <c r="G304" s="285">
        <f t="shared" si="5"/>
        <v>0.6</v>
      </c>
    </row>
    <row r="305" spans="1:9">
      <c r="A305" s="289" t="s">
        <v>345</v>
      </c>
      <c r="B305" s="289" t="s">
        <v>346</v>
      </c>
      <c r="C305" s="287">
        <v>4410</v>
      </c>
      <c r="D305" s="279" t="s">
        <v>203</v>
      </c>
      <c r="E305" s="280">
        <f>SUM(E306:E308)</f>
        <v>3370</v>
      </c>
      <c r="F305" s="280">
        <f>SUM(F306:F308)</f>
        <v>200</v>
      </c>
      <c r="G305" s="281">
        <f t="shared" si="5"/>
        <v>5.9347181008902079E-2</v>
      </c>
    </row>
    <row r="306" spans="1:9" ht="18" customHeight="1">
      <c r="A306" s="289"/>
      <c r="B306" s="289"/>
      <c r="C306" s="289"/>
      <c r="D306" s="283" t="s">
        <v>408</v>
      </c>
      <c r="E306" s="284">
        <f>SUM('ZSO Kom'!E84)</f>
        <v>370</v>
      </c>
      <c r="F306" s="284">
        <f>SUM('ZSO Kom'!F84)</f>
        <v>150</v>
      </c>
      <c r="G306" s="285">
        <f t="shared" si="5"/>
        <v>0.40540540540540543</v>
      </c>
      <c r="I306" s="274"/>
    </row>
    <row r="307" spans="1:9" ht="17.25" customHeight="1">
      <c r="A307" s="289"/>
      <c r="B307" s="289"/>
      <c r="C307" s="289"/>
      <c r="D307" s="21" t="s">
        <v>808</v>
      </c>
      <c r="E307" s="284">
        <f>SUM('ZS Mich'!E92)</f>
        <v>2000</v>
      </c>
      <c r="F307" s="284">
        <f>SUM('ZS Mich'!F92)</f>
        <v>50</v>
      </c>
      <c r="G307" s="285">
        <f t="shared" si="5"/>
        <v>2.5000000000000001E-2</v>
      </c>
    </row>
    <row r="308" spans="1:9" ht="21" customHeight="1">
      <c r="A308" s="289"/>
      <c r="B308" s="289"/>
      <c r="C308" s="289"/>
      <c r="D308" s="21" t="s">
        <v>807</v>
      </c>
      <c r="E308" s="284">
        <f>SUM('ZSP NW'!E131)</f>
        <v>1000</v>
      </c>
      <c r="F308" s="284">
        <f>SUM('ZSP NW'!F131)</f>
        <v>0</v>
      </c>
      <c r="G308" s="285">
        <f t="shared" si="5"/>
        <v>0</v>
      </c>
    </row>
    <row r="309" spans="1:9" hidden="1">
      <c r="A309" s="289"/>
      <c r="B309" s="289"/>
      <c r="C309" s="287">
        <v>4420</v>
      </c>
      <c r="D309" s="279" t="s">
        <v>360</v>
      </c>
      <c r="E309" s="284">
        <f>E310</f>
        <v>0</v>
      </c>
      <c r="F309" s="284">
        <f>F310</f>
        <v>0</v>
      </c>
      <c r="G309" s="285" t="e">
        <f t="shared" si="5"/>
        <v>#DIV/0!</v>
      </c>
    </row>
    <row r="310" spans="1:9" hidden="1">
      <c r="A310" s="289"/>
      <c r="B310" s="289"/>
      <c r="C310" s="289"/>
      <c r="D310" s="283" t="s">
        <v>148</v>
      </c>
      <c r="E310" s="284">
        <f>'ZS Mich'!E93</f>
        <v>0</v>
      </c>
      <c r="F310" s="284">
        <f>'ZS Mich'!F93</f>
        <v>0</v>
      </c>
      <c r="G310" s="285" t="e">
        <f t="shared" si="5"/>
        <v>#DIV/0!</v>
      </c>
    </row>
    <row r="311" spans="1:9">
      <c r="A311" s="289" t="s">
        <v>345</v>
      </c>
      <c r="B311" s="289" t="s">
        <v>346</v>
      </c>
      <c r="C311" s="287">
        <v>4430</v>
      </c>
      <c r="D311" s="279" t="s">
        <v>413</v>
      </c>
      <c r="E311" s="280">
        <f>SUM(E312:E314)</f>
        <v>2930</v>
      </c>
      <c r="F311" s="280">
        <f>SUM(F312:F314)</f>
        <v>0</v>
      </c>
      <c r="G311" s="281">
        <f t="shared" si="5"/>
        <v>0</v>
      </c>
      <c r="I311" s="298"/>
    </row>
    <row r="312" spans="1:9">
      <c r="A312" s="289"/>
      <c r="B312" s="289"/>
      <c r="C312" s="289"/>
      <c r="D312" s="283" t="s">
        <v>77</v>
      </c>
      <c r="E312" s="284">
        <f>SUM('ZSO Kom'!E86)</f>
        <v>1640</v>
      </c>
      <c r="F312" s="284">
        <f>SUM('ZSO Kom'!F86)</f>
        <v>0</v>
      </c>
      <c r="G312" s="285">
        <f t="shared" si="5"/>
        <v>0</v>
      </c>
    </row>
    <row r="313" spans="1:9">
      <c r="A313" s="289"/>
      <c r="B313" s="289"/>
      <c r="C313" s="289"/>
      <c r="D313" s="283" t="s">
        <v>405</v>
      </c>
      <c r="E313" s="284">
        <f>SUM('ZS Mich'!E96)</f>
        <v>540</v>
      </c>
      <c r="F313" s="284">
        <f>SUM('ZS Mich'!F96)</f>
        <v>0</v>
      </c>
      <c r="G313" s="285">
        <f t="shared" si="5"/>
        <v>0</v>
      </c>
    </row>
    <row r="314" spans="1:9">
      <c r="A314" s="289"/>
      <c r="B314" s="289"/>
      <c r="C314" s="289"/>
      <c r="D314" s="283" t="s">
        <v>41</v>
      </c>
      <c r="E314" s="284">
        <f>SUM('ZSP NW'!E132)</f>
        <v>750</v>
      </c>
      <c r="F314" s="284">
        <f>SUM('ZSP NW'!F132)</f>
        <v>0</v>
      </c>
      <c r="G314" s="285">
        <f t="shared" si="5"/>
        <v>0</v>
      </c>
    </row>
    <row r="315" spans="1:9">
      <c r="A315" s="289"/>
      <c r="B315" s="289"/>
      <c r="C315" s="287">
        <v>4440</v>
      </c>
      <c r="D315" s="279" t="s">
        <v>317</v>
      </c>
      <c r="E315" s="280">
        <f>SUM(E316:E318)</f>
        <v>148161</v>
      </c>
      <c r="F315" s="280">
        <f>SUM(F316:F318)</f>
        <v>93577</v>
      </c>
      <c r="G315" s="281">
        <f t="shared" si="5"/>
        <v>0.63158995957100716</v>
      </c>
      <c r="I315" s="274"/>
    </row>
    <row r="316" spans="1:9" ht="30.6" customHeight="1">
      <c r="A316" s="289"/>
      <c r="B316" s="289"/>
      <c r="C316" s="289"/>
      <c r="D316" s="283" t="s">
        <v>140</v>
      </c>
      <c r="E316" s="284">
        <f>SUM('ZSO Kom'!E87)</f>
        <v>51862</v>
      </c>
      <c r="F316" s="284">
        <f>SUM('ZSO Kom'!F87)</f>
        <v>37335</v>
      </c>
      <c r="G316" s="285">
        <f t="shared" si="5"/>
        <v>0.71989124985538544</v>
      </c>
    </row>
    <row r="317" spans="1:9" ht="30" customHeight="1">
      <c r="A317" s="289"/>
      <c r="B317" s="289"/>
      <c r="C317" s="289"/>
      <c r="D317" s="283" t="s">
        <v>132</v>
      </c>
      <c r="E317" s="284">
        <f>SUM('ZS Mich'!E97)</f>
        <v>59162</v>
      </c>
      <c r="F317" s="284">
        <f>SUM('ZS Mich'!F97)</f>
        <v>32117</v>
      </c>
      <c r="G317" s="285">
        <f t="shared" si="5"/>
        <v>0.54286535276021775</v>
      </c>
    </row>
    <row r="318" spans="1:9" ht="31.15" customHeight="1">
      <c r="A318" s="289"/>
      <c r="B318" s="289"/>
      <c r="C318" s="289"/>
      <c r="D318" s="283" t="s">
        <v>204</v>
      </c>
      <c r="E318" s="284">
        <f>SUM('ZSP NW'!E134)</f>
        <v>37137</v>
      </c>
      <c r="F318" s="284">
        <f>SUM('ZSP NW'!F134)</f>
        <v>24125</v>
      </c>
      <c r="G318" s="285">
        <f t="shared" si="5"/>
        <v>0.64962167110967495</v>
      </c>
    </row>
    <row r="319" spans="1:9" ht="18" customHeight="1">
      <c r="A319" s="289"/>
      <c r="B319" s="289"/>
      <c r="C319" s="287">
        <v>4700</v>
      </c>
      <c r="D319" s="279" t="s">
        <v>87</v>
      </c>
      <c r="E319" s="280">
        <f>SUM(E320:E322)</f>
        <v>50</v>
      </c>
      <c r="F319" s="280">
        <f>SUM(F320:F322)</f>
        <v>250</v>
      </c>
      <c r="G319" s="281">
        <f t="shared" si="5"/>
        <v>5</v>
      </c>
      <c r="I319" s="274"/>
    </row>
    <row r="320" spans="1:9" ht="21" customHeight="1">
      <c r="A320" s="289"/>
      <c r="B320" s="289"/>
      <c r="C320" s="289"/>
      <c r="D320" s="283" t="s">
        <v>379</v>
      </c>
      <c r="E320" s="284">
        <f>SUM('ZSO Kom'!E89)</f>
        <v>50</v>
      </c>
      <c r="F320" s="284">
        <f>SUM('ZSO Kom'!F89)</f>
        <v>250</v>
      </c>
      <c r="G320" s="285">
        <f t="shared" si="5"/>
        <v>5</v>
      </c>
    </row>
    <row r="321" spans="1:10" hidden="1">
      <c r="A321" s="289"/>
      <c r="B321" s="289"/>
      <c r="C321" s="289"/>
      <c r="D321" s="283" t="s">
        <v>275</v>
      </c>
      <c r="E321" s="284">
        <f>SUM('ZS Mich'!E99)</f>
        <v>0</v>
      </c>
      <c r="F321" s="284">
        <f>SUM('ZS Mich'!F99)</f>
        <v>0</v>
      </c>
      <c r="G321" s="285" t="e">
        <f t="shared" si="5"/>
        <v>#DIV/0!</v>
      </c>
    </row>
    <row r="322" spans="1:10" hidden="1">
      <c r="A322" s="289"/>
      <c r="B322" s="289"/>
      <c r="C322" s="289"/>
      <c r="D322" s="283" t="s">
        <v>55</v>
      </c>
      <c r="E322" s="284">
        <f>SUM('ZSP NW'!E136)</f>
        <v>0</v>
      </c>
      <c r="F322" s="284">
        <f>SUM('ZSP NW'!F136)</f>
        <v>0</v>
      </c>
      <c r="G322" s="285" t="e">
        <f t="shared" si="5"/>
        <v>#DIV/0!</v>
      </c>
    </row>
    <row r="323" spans="1:10">
      <c r="A323" s="659" t="s">
        <v>375</v>
      </c>
      <c r="B323" s="660"/>
      <c r="C323" s="660"/>
      <c r="D323" s="661"/>
      <c r="E323" s="291">
        <f>SUM(E245+E249+E256+E260+E264+E268+E272+E276+E280+E284+E288+E294+E298+E302+E305+E309+E311+E315+E319)</f>
        <v>4277108</v>
      </c>
      <c r="F323" s="291">
        <f>SUM(F245+F249+F256+F260+F264+F268+F272+F276+F280+F284+F288+F294+F298+F302+F305+F309+F311+F315+F319)</f>
        <v>2224657</v>
      </c>
      <c r="G323" s="292">
        <f t="shared" si="5"/>
        <v>0.52013112598512823</v>
      </c>
      <c r="H323" s="274">
        <f>'ZS Mich'!F100+'ZSP NW'!F137+'ZSO Kom'!F90</f>
        <v>2224657</v>
      </c>
      <c r="I323" s="304"/>
      <c r="J323" s="304"/>
    </row>
    <row r="324" spans="1:10">
      <c r="A324" s="287">
        <v>801</v>
      </c>
      <c r="B324" s="287">
        <v>80113</v>
      </c>
      <c r="C324" s="287">
        <v>4300</v>
      </c>
      <c r="D324" s="279" t="s">
        <v>100</v>
      </c>
      <c r="E324" s="280">
        <f>SUM(E325:E326)</f>
        <v>427000</v>
      </c>
      <c r="F324" s="280">
        <f>SUM(F325:F326)</f>
        <v>442000</v>
      </c>
      <c r="G324" s="281">
        <f t="shared" si="5"/>
        <v>1.0351288056206089</v>
      </c>
      <c r="I324" s="298"/>
    </row>
    <row r="325" spans="1:10">
      <c r="A325" s="289"/>
      <c r="B325" s="289"/>
      <c r="C325" s="289"/>
      <c r="D325" s="283" t="s">
        <v>175</v>
      </c>
      <c r="E325" s="284">
        <f>CUW!E111</f>
        <v>240000</v>
      </c>
      <c r="F325" s="284">
        <f>CUW!F111</f>
        <v>230000</v>
      </c>
      <c r="G325" s="285">
        <f>SUM(F325/E325)</f>
        <v>0.95833333333333337</v>
      </c>
    </row>
    <row r="326" spans="1:10">
      <c r="A326" s="289"/>
      <c r="B326" s="289"/>
      <c r="C326" s="289"/>
      <c r="D326" s="290" t="s">
        <v>176</v>
      </c>
      <c r="E326" s="284">
        <f>CUW!E112</f>
        <v>187000</v>
      </c>
      <c r="F326" s="284">
        <f>CUW!F112</f>
        <v>212000</v>
      </c>
      <c r="G326" s="285">
        <f>SUM(F326/E326)</f>
        <v>1.1336898395721926</v>
      </c>
    </row>
    <row r="327" spans="1:10" s="322" customFormat="1">
      <c r="A327" s="659" t="s">
        <v>174</v>
      </c>
      <c r="B327" s="662"/>
      <c r="C327" s="662"/>
      <c r="D327" s="663"/>
      <c r="E327" s="291">
        <f>SUM(E324)</f>
        <v>427000</v>
      </c>
      <c r="F327" s="291">
        <f>SUM(F324)</f>
        <v>442000</v>
      </c>
      <c r="G327" s="292">
        <f t="shared" si="5"/>
        <v>1.0351288056206089</v>
      </c>
      <c r="H327" s="274">
        <f>CUW!F113</f>
        <v>442000</v>
      </c>
    </row>
    <row r="328" spans="1:10">
      <c r="A328" s="308">
        <v>801</v>
      </c>
      <c r="B328" s="308">
        <v>80120</v>
      </c>
      <c r="C328" s="287">
        <v>3020</v>
      </c>
      <c r="D328" s="279" t="s">
        <v>359</v>
      </c>
      <c r="E328" s="280">
        <f>SUM(E329:E330)</f>
        <v>77910</v>
      </c>
      <c r="F328" s="280">
        <f>SUM(F329:F330)</f>
        <v>66350</v>
      </c>
      <c r="G328" s="281">
        <f t="shared" si="5"/>
        <v>0.8516236683352586</v>
      </c>
    </row>
    <row r="329" spans="1:10" ht="19.899999999999999" customHeight="1">
      <c r="A329" s="289"/>
      <c r="B329" s="289"/>
      <c r="C329" s="289"/>
      <c r="D329" s="21" t="s">
        <v>777</v>
      </c>
      <c r="E329" s="284">
        <f>'ZSO Kom'!E92</f>
        <v>76910</v>
      </c>
      <c r="F329" s="284">
        <f>'ZSO Kom'!F92</f>
        <v>65350</v>
      </c>
      <c r="G329" s="285">
        <f t="shared" si="5"/>
        <v>0.84969444805616956</v>
      </c>
    </row>
    <row r="330" spans="1:10" ht="16.899999999999999" customHeight="1">
      <c r="A330" s="289"/>
      <c r="B330" s="289"/>
      <c r="C330" s="289"/>
      <c r="D330" s="283" t="str">
        <f>'ZSO Kom'!D93</f>
        <v>odzież ochronna</v>
      </c>
      <c r="E330" s="284">
        <f>'ZSO Kom'!E93</f>
        <v>1000</v>
      </c>
      <c r="F330" s="284">
        <f>'ZSO Kom'!F93</f>
        <v>1000</v>
      </c>
      <c r="G330" s="285">
        <f t="shared" si="5"/>
        <v>1</v>
      </c>
    </row>
    <row r="331" spans="1:10" ht="16.149999999999999" customHeight="1">
      <c r="A331" s="289" t="s">
        <v>345</v>
      </c>
      <c r="B331" s="289" t="s">
        <v>346</v>
      </c>
      <c r="C331" s="287">
        <v>4010</v>
      </c>
      <c r="D331" s="279" t="s">
        <v>348</v>
      </c>
      <c r="E331" s="280">
        <f>SUM(E332:E333)</f>
        <v>1147222</v>
      </c>
      <c r="F331" s="280">
        <f>SUM(F332:F333)</f>
        <v>1445000</v>
      </c>
      <c r="G331" s="281">
        <f t="shared" si="5"/>
        <v>1.259564408632331</v>
      </c>
    </row>
    <row r="332" spans="1:10" ht="29.45" customHeight="1">
      <c r="A332" s="289"/>
      <c r="B332" s="289"/>
      <c r="C332" s="289"/>
      <c r="D332" s="21" t="s">
        <v>774</v>
      </c>
      <c r="E332" s="284">
        <f>SUM('ZSO Kom'!E95)</f>
        <v>1126022</v>
      </c>
      <c r="F332" s="284">
        <f>'ZSO Kom'!F95</f>
        <v>1416000</v>
      </c>
      <c r="G332" s="285">
        <f t="shared" si="5"/>
        <v>1.2575242757246305</v>
      </c>
    </row>
    <row r="333" spans="1:10">
      <c r="A333" s="289"/>
      <c r="B333" s="289"/>
      <c r="C333" s="289"/>
      <c r="D333" s="21" t="s">
        <v>753</v>
      </c>
      <c r="E333" s="284">
        <f>SUM('ZSO Kom'!E96)</f>
        <v>21200</v>
      </c>
      <c r="F333" s="284">
        <f>'ZSO Kom'!F96</f>
        <v>29000</v>
      </c>
      <c r="G333" s="285">
        <f t="shared" si="5"/>
        <v>1.3679245283018868</v>
      </c>
    </row>
    <row r="334" spans="1:10">
      <c r="A334" s="289" t="s">
        <v>345</v>
      </c>
      <c r="B334" s="289" t="s">
        <v>346</v>
      </c>
      <c r="C334" s="287">
        <v>4040</v>
      </c>
      <c r="D334" s="279" t="s">
        <v>349</v>
      </c>
      <c r="E334" s="280">
        <f>SUM(E335)</f>
        <v>93000</v>
      </c>
      <c r="F334" s="280">
        <f>SUM(F335)</f>
        <v>96000</v>
      </c>
      <c r="G334" s="281">
        <f t="shared" si="5"/>
        <v>1.032258064516129</v>
      </c>
    </row>
    <row r="335" spans="1:10" ht="30">
      <c r="A335" s="289"/>
      <c r="B335" s="289"/>
      <c r="C335" s="289"/>
      <c r="D335" s="283" t="s">
        <v>209</v>
      </c>
      <c r="E335" s="284">
        <f>SUM('ZSO Kom'!E97)</f>
        <v>93000</v>
      </c>
      <c r="F335" s="284">
        <f>SUM('ZSO Kom'!F97)</f>
        <v>96000</v>
      </c>
      <c r="G335" s="285">
        <f t="shared" si="5"/>
        <v>1.032258064516129</v>
      </c>
    </row>
    <row r="336" spans="1:10">
      <c r="A336" s="289" t="s">
        <v>345</v>
      </c>
      <c r="B336" s="289" t="s">
        <v>346</v>
      </c>
      <c r="C336" s="287">
        <v>4110</v>
      </c>
      <c r="D336" s="279" t="s">
        <v>446</v>
      </c>
      <c r="E336" s="280">
        <f>SUM(E337)</f>
        <v>233852</v>
      </c>
      <c r="F336" s="280">
        <f>SUM(F337)</f>
        <v>276200</v>
      </c>
      <c r="G336" s="281">
        <f t="shared" si="5"/>
        <v>1.1810888938302859</v>
      </c>
    </row>
    <row r="337" spans="1:9">
      <c r="A337" s="289"/>
      <c r="B337" s="289"/>
      <c r="C337" s="289"/>
      <c r="D337" s="283" t="s">
        <v>45</v>
      </c>
      <c r="E337" s="284">
        <f>SUM('ZSO Kom'!E98)</f>
        <v>233852</v>
      </c>
      <c r="F337" s="284">
        <f>SUM('ZSO Kom'!F98)</f>
        <v>276200</v>
      </c>
      <c r="G337" s="285">
        <f t="shared" si="5"/>
        <v>1.1810888938302859</v>
      </c>
    </row>
    <row r="338" spans="1:9">
      <c r="A338" s="289" t="s">
        <v>345</v>
      </c>
      <c r="B338" s="289" t="s">
        <v>346</v>
      </c>
      <c r="C338" s="287">
        <v>4120</v>
      </c>
      <c r="D338" s="279" t="s">
        <v>301</v>
      </c>
      <c r="E338" s="280">
        <f>SUM(E339)</f>
        <v>29369</v>
      </c>
      <c r="F338" s="280">
        <f>SUM(F339)</f>
        <v>37450</v>
      </c>
      <c r="G338" s="281">
        <f t="shared" si="5"/>
        <v>1.2751540740236305</v>
      </c>
    </row>
    <row r="339" spans="1:9">
      <c r="A339" s="289"/>
      <c r="B339" s="289"/>
      <c r="C339" s="289"/>
      <c r="D339" s="283" t="s">
        <v>46</v>
      </c>
      <c r="E339" s="284">
        <f>SUM('ZSO Kom'!E99)</f>
        <v>29369</v>
      </c>
      <c r="F339" s="284">
        <f>SUM('ZSO Kom'!F99)</f>
        <v>37450</v>
      </c>
      <c r="G339" s="285">
        <f t="shared" si="5"/>
        <v>1.2751540740236305</v>
      </c>
    </row>
    <row r="340" spans="1:9" hidden="1">
      <c r="A340" s="289"/>
      <c r="B340" s="289"/>
      <c r="C340" s="287">
        <v>4170</v>
      </c>
      <c r="D340" s="279" t="s">
        <v>235</v>
      </c>
      <c r="E340" s="280">
        <f>SUM(E341)</f>
        <v>0</v>
      </c>
      <c r="F340" s="280">
        <f>SUM(F341)</f>
        <v>0</v>
      </c>
      <c r="G340" s="281" t="e">
        <f t="shared" si="5"/>
        <v>#DIV/0!</v>
      </c>
    </row>
    <row r="341" spans="1:9" ht="32.25" hidden="1" customHeight="1">
      <c r="A341" s="289"/>
      <c r="B341" s="289"/>
      <c r="C341" s="289"/>
      <c r="D341" s="283" t="s">
        <v>440</v>
      </c>
      <c r="E341" s="284">
        <f>SUM('ZSO Kom'!E101)</f>
        <v>0</v>
      </c>
      <c r="F341" s="284">
        <f>SUM('ZSO Kom'!F101)</f>
        <v>0</v>
      </c>
      <c r="G341" s="285" t="e">
        <f t="shared" si="5"/>
        <v>#DIV/0!</v>
      </c>
    </row>
    <row r="342" spans="1:9" ht="16.5" customHeight="1">
      <c r="A342" s="289"/>
      <c r="B342" s="289"/>
      <c r="C342" s="287">
        <v>4190</v>
      </c>
      <c r="D342" s="293" t="s">
        <v>452</v>
      </c>
      <c r="E342" s="284">
        <f>E343</f>
        <v>800</v>
      </c>
      <c r="F342" s="284">
        <f>F343</f>
        <v>800</v>
      </c>
      <c r="G342" s="285">
        <f t="shared" si="5"/>
        <v>1</v>
      </c>
    </row>
    <row r="343" spans="1:9" ht="16.5" customHeight="1">
      <c r="A343" s="289"/>
      <c r="B343" s="289"/>
      <c r="C343" s="289"/>
      <c r="D343" s="283" t="s">
        <v>456</v>
      </c>
      <c r="E343" s="284">
        <f>'ZSO Kom'!E102</f>
        <v>800</v>
      </c>
      <c r="F343" s="284">
        <f>'ZSO Kom'!F102</f>
        <v>800</v>
      </c>
      <c r="G343" s="285">
        <f t="shared" si="5"/>
        <v>1</v>
      </c>
    </row>
    <row r="344" spans="1:9">
      <c r="A344" s="289" t="s">
        <v>345</v>
      </c>
      <c r="B344" s="289" t="s">
        <v>346</v>
      </c>
      <c r="C344" s="287">
        <v>4210</v>
      </c>
      <c r="D344" s="279" t="s">
        <v>274</v>
      </c>
      <c r="E344" s="280">
        <f>SUM(E345)</f>
        <v>20150</v>
      </c>
      <c r="F344" s="280">
        <f>SUM(F345)</f>
        <v>25000</v>
      </c>
      <c r="G344" s="281">
        <f t="shared" si="5"/>
        <v>1.2406947890818858</v>
      </c>
      <c r="I344" s="298"/>
    </row>
    <row r="345" spans="1:9" ht="49.5" customHeight="1">
      <c r="A345" s="289"/>
      <c r="B345" s="289"/>
      <c r="C345" s="289"/>
      <c r="D345" s="21" t="s">
        <v>754</v>
      </c>
      <c r="E345" s="284">
        <f>SUM('ZSO Kom'!E105)</f>
        <v>20150</v>
      </c>
      <c r="F345" s="284">
        <f>SUM('ZSO Kom'!F105)</f>
        <v>25000</v>
      </c>
      <c r="G345" s="285">
        <f t="shared" si="5"/>
        <v>1.2406947890818858</v>
      </c>
    </row>
    <row r="346" spans="1:9" ht="18" customHeight="1">
      <c r="A346" s="289"/>
      <c r="B346" s="289"/>
      <c r="C346" s="287">
        <v>4220</v>
      </c>
      <c r="D346" s="279" t="s">
        <v>492</v>
      </c>
      <c r="E346" s="284">
        <f>E347</f>
        <v>300</v>
      </c>
      <c r="F346" s="284">
        <f>F347</f>
        <v>300</v>
      </c>
      <c r="G346" s="285">
        <f t="shared" si="5"/>
        <v>1</v>
      </c>
    </row>
    <row r="347" spans="1:9" ht="17.25" customHeight="1">
      <c r="A347" s="289"/>
      <c r="B347" s="289"/>
      <c r="C347" s="289"/>
      <c r="D347" s="283" t="s">
        <v>493</v>
      </c>
      <c r="E347" s="284">
        <f>'ZSO Kom'!E106</f>
        <v>300</v>
      </c>
      <c r="F347" s="284">
        <f>'ZSO Kom'!F106</f>
        <v>300</v>
      </c>
      <c r="G347" s="285">
        <f t="shared" si="5"/>
        <v>1</v>
      </c>
    </row>
    <row r="348" spans="1:9">
      <c r="A348" s="289" t="s">
        <v>345</v>
      </c>
      <c r="B348" s="289" t="s">
        <v>346</v>
      </c>
      <c r="C348" s="287">
        <v>4240</v>
      </c>
      <c r="D348" s="279" t="s">
        <v>179</v>
      </c>
      <c r="E348" s="280">
        <f>SUM(E349)</f>
        <v>17000</v>
      </c>
      <c r="F348" s="280">
        <f>SUM(F349)</f>
        <v>16500</v>
      </c>
      <c r="G348" s="281">
        <f t="shared" ref="G348:G399" si="6">SUM(F348/E348)</f>
        <v>0.97058823529411764</v>
      </c>
      <c r="I348" s="298"/>
    </row>
    <row r="349" spans="1:9" ht="19.899999999999999" customHeight="1">
      <c r="A349" s="289"/>
      <c r="B349" s="289"/>
      <c r="C349" s="289"/>
      <c r="D349" s="21" t="s">
        <v>775</v>
      </c>
      <c r="E349" s="284">
        <f>SUM('ZSO Kom'!E108)</f>
        <v>17000</v>
      </c>
      <c r="F349" s="284">
        <f>SUM('ZSO Kom'!F108)</f>
        <v>16500</v>
      </c>
      <c r="G349" s="285">
        <f t="shared" si="6"/>
        <v>0.97058823529411764</v>
      </c>
    </row>
    <row r="350" spans="1:9">
      <c r="A350" s="289" t="s">
        <v>345</v>
      </c>
      <c r="B350" s="289" t="s">
        <v>346</v>
      </c>
      <c r="C350" s="287">
        <v>4270</v>
      </c>
      <c r="D350" s="279" t="s">
        <v>238</v>
      </c>
      <c r="E350" s="280">
        <f>SUM(E351+E352)</f>
        <v>1000</v>
      </c>
      <c r="F350" s="280">
        <f>SUM(F351+F352)</f>
        <v>1100</v>
      </c>
      <c r="G350" s="281">
        <f t="shared" si="6"/>
        <v>1.1000000000000001</v>
      </c>
      <c r="I350" s="298"/>
    </row>
    <row r="351" spans="1:9">
      <c r="A351" s="289"/>
      <c r="B351" s="289"/>
      <c r="C351" s="289"/>
      <c r="D351" s="283" t="s">
        <v>464</v>
      </c>
      <c r="E351" s="284">
        <f>SUM('ZSO Kom'!E110)</f>
        <v>1000</v>
      </c>
      <c r="F351" s="284">
        <f>SUM('ZSO Kom'!F110)</f>
        <v>1100</v>
      </c>
      <c r="G351" s="281">
        <f t="shared" si="6"/>
        <v>1.1000000000000001</v>
      </c>
    </row>
    <row r="352" spans="1:9" ht="30.75" hidden="1" customHeight="1">
      <c r="A352" s="289"/>
      <c r="B352" s="289"/>
      <c r="C352" s="289"/>
      <c r="D352" s="296" t="s">
        <v>547</v>
      </c>
      <c r="E352" s="284">
        <f>SUM('ZSO Kom'!E111)</f>
        <v>0</v>
      </c>
      <c r="F352" s="284">
        <f>SUM('ZSO Kom'!F111)</f>
        <v>0</v>
      </c>
      <c r="G352" s="281" t="e">
        <f t="shared" si="6"/>
        <v>#DIV/0!</v>
      </c>
    </row>
    <row r="353" spans="1:9" ht="17.25" customHeight="1">
      <c r="A353" s="289"/>
      <c r="B353" s="289"/>
      <c r="C353" s="287">
        <v>4280</v>
      </c>
      <c r="D353" s="279" t="s">
        <v>411</v>
      </c>
      <c r="E353" s="280">
        <f>SUM(E354)</f>
        <v>1100</v>
      </c>
      <c r="F353" s="280">
        <f>SUM(F354)</f>
        <v>900</v>
      </c>
      <c r="G353" s="281">
        <f t="shared" si="6"/>
        <v>0.81818181818181823</v>
      </c>
    </row>
    <row r="354" spans="1:9" ht="30">
      <c r="A354" s="289"/>
      <c r="B354" s="289"/>
      <c r="C354" s="289"/>
      <c r="D354" s="283" t="s">
        <v>410</v>
      </c>
      <c r="E354" s="284">
        <f>SUM('ZSO Kom'!E112)</f>
        <v>1100</v>
      </c>
      <c r="F354" s="284">
        <f>SUM('ZSO Kom'!F112)</f>
        <v>900</v>
      </c>
      <c r="G354" s="281">
        <f t="shared" si="6"/>
        <v>0.81818181818181823</v>
      </c>
    </row>
    <row r="355" spans="1:9">
      <c r="A355" s="289" t="s">
        <v>345</v>
      </c>
      <c r="B355" s="289" t="s">
        <v>346</v>
      </c>
      <c r="C355" s="287">
        <v>4300</v>
      </c>
      <c r="D355" s="279" t="s">
        <v>100</v>
      </c>
      <c r="E355" s="280">
        <f>SUM(E356)</f>
        <v>15900</v>
      </c>
      <c r="F355" s="280">
        <f>SUM(F356)</f>
        <v>16600</v>
      </c>
      <c r="G355" s="281">
        <f t="shared" si="6"/>
        <v>1.0440251572327044</v>
      </c>
      <c r="I355" s="274"/>
    </row>
    <row r="356" spans="1:9" ht="45" customHeight="1">
      <c r="A356" s="289"/>
      <c r="B356" s="289"/>
      <c r="C356" s="289"/>
      <c r="D356" s="89" t="s">
        <v>776</v>
      </c>
      <c r="E356" s="284">
        <f>SUM('ZSO Kom'!E114)</f>
        <v>15900</v>
      </c>
      <c r="F356" s="284">
        <f>'ZSO Kom'!F114</f>
        <v>16600</v>
      </c>
      <c r="G356" s="285">
        <f t="shared" si="6"/>
        <v>1.0440251572327044</v>
      </c>
    </row>
    <row r="357" spans="1:9">
      <c r="A357" s="289"/>
      <c r="B357" s="289"/>
      <c r="C357" s="287">
        <v>4410</v>
      </c>
      <c r="D357" s="279" t="s">
        <v>203</v>
      </c>
      <c r="E357" s="280">
        <f>SUM(E358)</f>
        <v>1700</v>
      </c>
      <c r="F357" s="280">
        <f>SUM(F358)</f>
        <v>1900</v>
      </c>
      <c r="G357" s="281">
        <f t="shared" si="6"/>
        <v>1.1176470588235294</v>
      </c>
    </row>
    <row r="358" spans="1:9" ht="29.25" customHeight="1">
      <c r="A358" s="289"/>
      <c r="B358" s="289"/>
      <c r="C358" s="289"/>
      <c r="D358" s="283" t="s">
        <v>407</v>
      </c>
      <c r="E358" s="284">
        <f>SUM('ZSO Kom'!E116)</f>
        <v>1700</v>
      </c>
      <c r="F358" s="284">
        <f>SUM('ZSO Kom'!F116)</f>
        <v>1900</v>
      </c>
      <c r="G358" s="285">
        <f t="shared" si="6"/>
        <v>1.1176470588235294</v>
      </c>
    </row>
    <row r="359" spans="1:9" hidden="1">
      <c r="A359" s="289" t="s">
        <v>345</v>
      </c>
      <c r="B359" s="289" t="s">
        <v>346</v>
      </c>
      <c r="C359" s="287">
        <v>4420</v>
      </c>
      <c r="D359" s="279" t="s">
        <v>360</v>
      </c>
      <c r="E359" s="280">
        <f>SUM(E360)</f>
        <v>0</v>
      </c>
      <c r="F359" s="280">
        <f>SUM(F360)</f>
        <v>0</v>
      </c>
      <c r="G359" s="281" t="e">
        <f t="shared" si="6"/>
        <v>#DIV/0!</v>
      </c>
    </row>
    <row r="360" spans="1:9" hidden="1">
      <c r="A360" s="289"/>
      <c r="B360" s="289"/>
      <c r="C360" s="289"/>
      <c r="D360" s="283" t="s">
        <v>361</v>
      </c>
      <c r="E360" s="284">
        <f>SUM('ZSO Kom'!E117)</f>
        <v>0</v>
      </c>
      <c r="F360" s="284">
        <f>SUM('ZSO Kom'!F117)</f>
        <v>0</v>
      </c>
      <c r="G360" s="285" t="e">
        <f t="shared" si="6"/>
        <v>#DIV/0!</v>
      </c>
    </row>
    <row r="361" spans="1:9">
      <c r="A361" s="289" t="s">
        <v>345</v>
      </c>
      <c r="B361" s="289" t="s">
        <v>346</v>
      </c>
      <c r="C361" s="287">
        <v>4430</v>
      </c>
      <c r="D361" s="279" t="s">
        <v>413</v>
      </c>
      <c r="E361" s="280">
        <f>SUM(E362)</f>
        <v>1500</v>
      </c>
      <c r="F361" s="280">
        <f>SUM(F362)</f>
        <v>2000</v>
      </c>
      <c r="G361" s="281">
        <f t="shared" si="6"/>
        <v>1.3333333333333333</v>
      </c>
    </row>
    <row r="362" spans="1:9">
      <c r="A362" s="289"/>
      <c r="B362" s="289"/>
      <c r="C362" s="289"/>
      <c r="D362" s="283" t="s">
        <v>378</v>
      </c>
      <c r="E362" s="284">
        <f>SUM('ZSO Kom'!E119)</f>
        <v>1500</v>
      </c>
      <c r="F362" s="284">
        <f>SUM('ZSO Kom'!F119)</f>
        <v>2000</v>
      </c>
      <c r="G362" s="285">
        <f t="shared" si="6"/>
        <v>1.3333333333333333</v>
      </c>
    </row>
    <row r="363" spans="1:9">
      <c r="A363" s="289" t="s">
        <v>345</v>
      </c>
      <c r="B363" s="289" t="s">
        <v>346</v>
      </c>
      <c r="C363" s="287">
        <v>4440</v>
      </c>
      <c r="D363" s="279" t="s">
        <v>317</v>
      </c>
      <c r="E363" s="280">
        <f>SUM(E364)</f>
        <v>55668</v>
      </c>
      <c r="F363" s="280">
        <f>SUM(F364)</f>
        <v>58966</v>
      </c>
      <c r="G363" s="281">
        <f t="shared" si="6"/>
        <v>1.0592440899619171</v>
      </c>
    </row>
    <row r="364" spans="1:9" ht="30">
      <c r="A364" s="289"/>
      <c r="B364" s="289"/>
      <c r="C364" s="289"/>
      <c r="D364" s="283" t="s">
        <v>409</v>
      </c>
      <c r="E364" s="284">
        <f>SUM('ZSO Kom'!E120)</f>
        <v>55668</v>
      </c>
      <c r="F364" s="284">
        <f>SUM('ZSO Kom'!F120)</f>
        <v>58966</v>
      </c>
      <c r="G364" s="285">
        <f t="shared" si="6"/>
        <v>1.0592440899619171</v>
      </c>
    </row>
    <row r="365" spans="1:9" ht="17.25" customHeight="1">
      <c r="A365" s="289"/>
      <c r="B365" s="289"/>
      <c r="C365" s="287">
        <v>4700</v>
      </c>
      <c r="D365" s="279" t="s">
        <v>243</v>
      </c>
      <c r="E365" s="280">
        <f>SUM(E366)</f>
        <v>250</v>
      </c>
      <c r="F365" s="280">
        <f>SUM(F366)</f>
        <v>350</v>
      </c>
      <c r="G365" s="281">
        <f t="shared" si="6"/>
        <v>1.4</v>
      </c>
    </row>
    <row r="366" spans="1:9">
      <c r="A366" s="289"/>
      <c r="B366" s="289"/>
      <c r="C366" s="289"/>
      <c r="D366" s="283" t="s">
        <v>286</v>
      </c>
      <c r="E366" s="284">
        <f>SUM('ZSO Kom'!E122)</f>
        <v>250</v>
      </c>
      <c r="F366" s="284">
        <f>SUM('ZSO Kom'!F122)</f>
        <v>350</v>
      </c>
      <c r="G366" s="285">
        <f t="shared" si="6"/>
        <v>1.4</v>
      </c>
    </row>
    <row r="367" spans="1:9">
      <c r="A367" s="659" t="s">
        <v>234</v>
      </c>
      <c r="B367" s="662"/>
      <c r="C367" s="662"/>
      <c r="D367" s="663"/>
      <c r="E367" s="291">
        <f>SUM(E328+E331+E334+E336+E338+E340+E342+E344+E346+E348+E350+E353+E355+E357+E359+E361+E363+E365)</f>
        <v>1696721</v>
      </c>
      <c r="F367" s="291">
        <f>SUM(F328+F331+F334+F336+F338+F340+F342+F344+F346+F348+F350+F353+F355+F357+F359+F361+F363+F365)</f>
        <v>2045416</v>
      </c>
      <c r="G367" s="292">
        <f t="shared" si="6"/>
        <v>1.2055111005286079</v>
      </c>
      <c r="H367" s="274">
        <f>'ZSO Kom'!F123</f>
        <v>2045416</v>
      </c>
      <c r="I367" s="304"/>
    </row>
    <row r="368" spans="1:9">
      <c r="A368" s="287">
        <v>801</v>
      </c>
      <c r="B368" s="287">
        <v>80146</v>
      </c>
      <c r="C368" s="287">
        <v>3020</v>
      </c>
      <c r="D368" s="279" t="s">
        <v>359</v>
      </c>
      <c r="E368" s="280">
        <f>SUM(E369:E372)</f>
        <v>20413</v>
      </c>
      <c r="F368" s="280">
        <f>SUM(F369:F372)</f>
        <v>17000</v>
      </c>
      <c r="G368" s="281">
        <f t="shared" si="6"/>
        <v>0.83280262577769071</v>
      </c>
    </row>
    <row r="369" spans="1:9" ht="30">
      <c r="A369" s="289"/>
      <c r="B369" s="289"/>
      <c r="C369" s="289"/>
      <c r="D369" s="296" t="s">
        <v>335</v>
      </c>
      <c r="E369" s="284">
        <f>SUM('ZS Mich'!E102+'ZSP NW'!E139+'ZSO Kom'!E125)</f>
        <v>15125</v>
      </c>
      <c r="F369" s="284">
        <f>SUM('ZS Mich'!F102+'ZSP NW'!F139+'ZSO Kom'!F125)</f>
        <v>9000</v>
      </c>
      <c r="G369" s="285">
        <f t="shared" si="6"/>
        <v>0.5950413223140496</v>
      </c>
    </row>
    <row r="370" spans="1:9" ht="21.75" customHeight="1">
      <c r="A370" s="289"/>
      <c r="B370" s="289"/>
      <c r="C370" s="289"/>
      <c r="D370" s="296" t="s">
        <v>338</v>
      </c>
      <c r="E370" s="284">
        <f>SUM('ZS Mich'!E103+'ZSP NW'!E140+'ZSO Kom'!E126)</f>
        <v>2300</v>
      </c>
      <c r="F370" s="284">
        <f>SUM('ZS Mich'!F103+'ZSP NW'!F140+'ZSO Kom'!F126)</f>
        <v>0</v>
      </c>
      <c r="G370" s="285">
        <f t="shared" si="6"/>
        <v>0</v>
      </c>
    </row>
    <row r="371" spans="1:9" ht="19.5" customHeight="1">
      <c r="A371" s="289"/>
      <c r="B371" s="289"/>
      <c r="C371" s="289"/>
      <c r="D371" s="296" t="s">
        <v>237</v>
      </c>
      <c r="E371" s="284">
        <f>SUM('Pd Mich'!F46+'ZSP NW'!E145)</f>
        <v>988</v>
      </c>
      <c r="F371" s="284">
        <f>SUM('Pd Mich'!G46+'ZSP NW'!F141)</f>
        <v>6000</v>
      </c>
      <c r="G371" s="285">
        <f t="shared" si="6"/>
        <v>6.0728744939271255</v>
      </c>
    </row>
    <row r="372" spans="1:9" ht="18" customHeight="1">
      <c r="A372" s="289"/>
      <c r="B372" s="289"/>
      <c r="C372" s="289"/>
      <c r="D372" s="296" t="s">
        <v>337</v>
      </c>
      <c r="E372" s="284">
        <f>SUM('ZSO Kom'!E127)</f>
        <v>2000</v>
      </c>
      <c r="F372" s="284">
        <f>SUM('ZSO Kom'!F127)</f>
        <v>2000</v>
      </c>
      <c r="G372" s="285">
        <f t="shared" si="6"/>
        <v>1</v>
      </c>
    </row>
    <row r="373" spans="1:9" hidden="1">
      <c r="A373" s="289"/>
      <c r="B373" s="289"/>
      <c r="C373" s="287">
        <v>4410</v>
      </c>
      <c r="D373" s="279" t="s">
        <v>203</v>
      </c>
      <c r="E373" s="280" t="e">
        <f>SUM(E374+E375+E376+E377)</f>
        <v>#REF!</v>
      </c>
      <c r="F373" s="280" t="e">
        <f>SUM(F374+F375+F376+F377)</f>
        <v>#REF!</v>
      </c>
      <c r="G373" s="281" t="e">
        <f t="shared" si="6"/>
        <v>#REF!</v>
      </c>
    </row>
    <row r="374" spans="1:9" hidden="1">
      <c r="A374" s="289"/>
      <c r="B374" s="289"/>
      <c r="C374" s="289"/>
      <c r="D374" s="296" t="s">
        <v>246</v>
      </c>
      <c r="E374" s="284">
        <f>'ZS Mich'!E105+'ZSP NW'!E143+'ZSO Kom'!E129</f>
        <v>0</v>
      </c>
      <c r="F374" s="284">
        <f>'ZS Mich'!F105+'ZSP NW'!F143+'ZSO Kom'!F129</f>
        <v>0</v>
      </c>
      <c r="G374" s="285" t="e">
        <f t="shared" si="6"/>
        <v>#DIV/0!</v>
      </c>
    </row>
    <row r="375" spans="1:9" hidden="1">
      <c r="A375" s="289"/>
      <c r="B375" s="289"/>
      <c r="C375" s="289"/>
      <c r="D375" s="296" t="s">
        <v>247</v>
      </c>
      <c r="E375" s="284">
        <f>'ZS Mich'!E106+'ZSP NW'!E144+'ZSO Kom'!E130</f>
        <v>0</v>
      </c>
      <c r="F375" s="284">
        <f>'ZS Mich'!F106+'ZSP NW'!F144+'ZSO Kom'!F130</f>
        <v>0</v>
      </c>
      <c r="G375" s="285" t="e">
        <f t="shared" si="6"/>
        <v>#DIV/0!</v>
      </c>
    </row>
    <row r="376" spans="1:9" hidden="1">
      <c r="A376" s="289"/>
      <c r="B376" s="289"/>
      <c r="C376" s="289"/>
      <c r="D376" s="296" t="s">
        <v>248</v>
      </c>
      <c r="E376" s="284">
        <f>+'ZSO Kom'!E131</f>
        <v>0</v>
      </c>
      <c r="F376" s="284">
        <f>+'ZSO Kom'!F131</f>
        <v>0</v>
      </c>
      <c r="G376" s="285" t="e">
        <f t="shared" si="6"/>
        <v>#DIV/0!</v>
      </c>
    </row>
    <row r="377" spans="1:9" hidden="1">
      <c r="A377" s="289"/>
      <c r="B377" s="289"/>
      <c r="C377" s="289"/>
      <c r="D377" s="296" t="s">
        <v>249</v>
      </c>
      <c r="E377" s="284" t="e">
        <f>'Pd Mich'!F48+#REF!</f>
        <v>#REF!</v>
      </c>
      <c r="F377" s="284" t="e">
        <f>'Pd Mich'!G48+#REF!</f>
        <v>#REF!</v>
      </c>
      <c r="G377" s="285" t="e">
        <f t="shared" si="6"/>
        <v>#REF!</v>
      </c>
    </row>
    <row r="378" spans="1:9" ht="16.5" customHeight="1">
      <c r="A378" s="289"/>
      <c r="B378" s="289"/>
      <c r="C378" s="287">
        <v>4700</v>
      </c>
      <c r="D378" s="279" t="s">
        <v>243</v>
      </c>
      <c r="E378" s="280">
        <f>SUM(E379:E382)</f>
        <v>125998</v>
      </c>
      <c r="F378" s="280">
        <f>SUM(F379:F382)</f>
        <v>99064</v>
      </c>
      <c r="G378" s="281">
        <f t="shared" si="6"/>
        <v>0.78623470213812918</v>
      </c>
    </row>
    <row r="379" spans="1:9">
      <c r="A379" s="289"/>
      <c r="B379" s="289"/>
      <c r="C379" s="289"/>
      <c r="D379" s="296" t="s">
        <v>229</v>
      </c>
      <c r="E379" s="284">
        <f>SUM('ZS Mich'!E108+'ZSP NW'!E147+'ZSO Kom'!E133)</f>
        <v>86947</v>
      </c>
      <c r="F379" s="284">
        <f>SUM('ZS Mich'!F108+'ZSP NW'!F147+'ZSO Kom'!F133)</f>
        <v>80571</v>
      </c>
      <c r="G379" s="285">
        <f t="shared" si="6"/>
        <v>0.92666797014273061</v>
      </c>
    </row>
    <row r="380" spans="1:9">
      <c r="A380" s="289"/>
      <c r="B380" s="289"/>
      <c r="C380" s="289"/>
      <c r="D380" s="296" t="s">
        <v>230</v>
      </c>
      <c r="E380" s="284">
        <f>SUM('ZS Mich'!E109+'ZSP NW'!E148+'ZSO Kom'!E134)</f>
        <v>19396</v>
      </c>
      <c r="F380" s="284">
        <f>SUM('ZSP NW'!F148+'ZSO Kom'!F134+'ZS Mich'!F109)</f>
        <v>6164</v>
      </c>
      <c r="G380" s="285">
        <f t="shared" si="6"/>
        <v>0.31779748401732316</v>
      </c>
    </row>
    <row r="381" spans="1:9">
      <c r="A381" s="289"/>
      <c r="B381" s="289"/>
      <c r="C381" s="289"/>
      <c r="D381" s="296" t="s">
        <v>231</v>
      </c>
      <c r="E381" s="284">
        <f>SUM('Pd Mich'!F50+'ZSP NW'!E149)</f>
        <v>11912</v>
      </c>
      <c r="F381" s="284">
        <f>SUM('Pd Mich'!G50+'ZSP NW'!F149)</f>
        <v>5757</v>
      </c>
      <c r="G381" s="285">
        <f t="shared" si="6"/>
        <v>0.48329415715245133</v>
      </c>
    </row>
    <row r="382" spans="1:9">
      <c r="A382" s="289"/>
      <c r="B382" s="289"/>
      <c r="C382" s="289"/>
      <c r="D382" s="296" t="s">
        <v>232</v>
      </c>
      <c r="E382" s="284">
        <f>SUM('ZSO Kom'!E135)</f>
        <v>7743</v>
      </c>
      <c r="F382" s="284">
        <f>SUM('ZSO Kom'!F135)</f>
        <v>6572</v>
      </c>
      <c r="G382" s="285">
        <f t="shared" si="6"/>
        <v>0.84876662792199409</v>
      </c>
      <c r="I382" s="298"/>
    </row>
    <row r="383" spans="1:9">
      <c r="A383" s="659" t="s">
        <v>233</v>
      </c>
      <c r="B383" s="665"/>
      <c r="C383" s="666"/>
      <c r="D383" s="663"/>
      <c r="E383" s="291">
        <f>SUM(E368+E378)</f>
        <v>146411</v>
      </c>
      <c r="F383" s="291">
        <f>SUM(F368+F378)</f>
        <v>116064</v>
      </c>
      <c r="G383" s="292">
        <f t="shared" si="6"/>
        <v>0.79272732240063926</v>
      </c>
      <c r="H383" s="274">
        <f>'ZS Mich'!F110+'ZSP NW'!F150+'Pd Mich'!G51+'ZSO Kom'!F136</f>
        <v>116064</v>
      </c>
      <c r="I383" s="304">
        <f>H383-F383</f>
        <v>0</v>
      </c>
    </row>
    <row r="384" spans="1:9">
      <c r="A384" s="657"/>
      <c r="B384" s="657"/>
      <c r="C384" s="317">
        <v>3020</v>
      </c>
      <c r="D384" s="279" t="s">
        <v>359</v>
      </c>
      <c r="E384" s="307">
        <f>SUM(E385:E386)</f>
        <v>3244</v>
      </c>
      <c r="F384" s="307">
        <f>SUM(F385:F386)</f>
        <v>3050</v>
      </c>
      <c r="G384" s="281">
        <f t="shared" si="6"/>
        <v>0.94019728729963004</v>
      </c>
      <c r="I384" s="298"/>
    </row>
    <row r="385" spans="1:9">
      <c r="A385" s="657"/>
      <c r="B385" s="657"/>
      <c r="C385" s="317"/>
      <c r="D385" s="63" t="s">
        <v>822</v>
      </c>
      <c r="E385" s="301">
        <f>SUM('ZSP NW'!E153+'Pd Mich'!F53)</f>
        <v>1550</v>
      </c>
      <c r="F385" s="301">
        <f>SUM('ZSP NW'!F153+'Pd Mich'!G53)</f>
        <v>2000</v>
      </c>
      <c r="G385" s="285">
        <f t="shared" si="6"/>
        <v>1.2903225806451613</v>
      </c>
      <c r="I385" s="298"/>
    </row>
    <row r="386" spans="1:9">
      <c r="A386" s="657"/>
      <c r="B386" s="657"/>
      <c r="C386" s="317"/>
      <c r="D386" s="63" t="s">
        <v>823</v>
      </c>
      <c r="E386" s="301">
        <f>'ZSP NW'!E152+'ZSO Kom'!E137</f>
        <v>1694</v>
      </c>
      <c r="F386" s="301">
        <f>'ZSP NW'!F152+'ZSO Kom'!F137</f>
        <v>1050</v>
      </c>
      <c r="G386" s="285">
        <f t="shared" si="6"/>
        <v>0.6198347107438017</v>
      </c>
      <c r="I386" s="298"/>
    </row>
    <row r="387" spans="1:9">
      <c r="A387" s="657"/>
      <c r="B387" s="657"/>
      <c r="C387" s="287">
        <v>4010</v>
      </c>
      <c r="D387" s="279" t="s">
        <v>348</v>
      </c>
      <c r="E387" s="307">
        <f>SUM(E388:E389)</f>
        <v>24087</v>
      </c>
      <c r="F387" s="307">
        <f>SUM(F388:F389)</f>
        <v>36400</v>
      </c>
      <c r="G387" s="285">
        <f t="shared" si="6"/>
        <v>1.5111886079628014</v>
      </c>
      <c r="I387" s="298"/>
    </row>
    <row r="388" spans="1:9">
      <c r="A388" s="657"/>
      <c r="B388" s="657"/>
      <c r="C388" s="289"/>
      <c r="D388" s="283" t="s">
        <v>484</v>
      </c>
      <c r="E388" s="301">
        <f>'ZSP NW'!E156+'Pd Mich'!F54</f>
        <v>11508</v>
      </c>
      <c r="F388" s="301">
        <f>'ZSP NW'!F156+'Pd Mich'!G54</f>
        <v>24000</v>
      </c>
      <c r="G388" s="285">
        <f t="shared" si="6"/>
        <v>2.0855057351407718</v>
      </c>
      <c r="I388" s="298"/>
    </row>
    <row r="389" spans="1:9">
      <c r="A389" s="657"/>
      <c r="B389" s="657"/>
      <c r="C389" s="289"/>
      <c r="D389" s="283" t="s">
        <v>541</v>
      </c>
      <c r="E389" s="301">
        <f>'ZSP NW'!E155+'ZSO Kom'!E139</f>
        <v>12579</v>
      </c>
      <c r="F389" s="301">
        <f>'ZSP NW'!F155+'ZSO Kom'!F139</f>
        <v>12400</v>
      </c>
      <c r="G389" s="285">
        <f t="shared" si="6"/>
        <v>0.98576993401701252</v>
      </c>
      <c r="I389" s="298"/>
    </row>
    <row r="390" spans="1:9">
      <c r="A390" s="657"/>
      <c r="B390" s="657"/>
      <c r="C390" s="287">
        <v>4110</v>
      </c>
      <c r="D390" s="279" t="s">
        <v>446</v>
      </c>
      <c r="E390" s="307">
        <f>SUM(E391:E392)</f>
        <v>4698</v>
      </c>
      <c r="F390" s="307">
        <f>SUM(F391:F392)</f>
        <v>6800</v>
      </c>
      <c r="G390" s="285">
        <f t="shared" si="6"/>
        <v>1.4474244359301831</v>
      </c>
      <c r="I390" s="298"/>
    </row>
    <row r="391" spans="1:9">
      <c r="A391" s="657"/>
      <c r="B391" s="657"/>
      <c r="C391" s="289"/>
      <c r="D391" s="283" t="s">
        <v>485</v>
      </c>
      <c r="E391" s="301">
        <f>'ZSP NW'!E159+'Pd Mich'!F56</f>
        <v>2245</v>
      </c>
      <c r="F391" s="301">
        <f>'ZSP NW'!F159+'Pd Mich'!G56</f>
        <v>4500</v>
      </c>
      <c r="G391" s="285">
        <f t="shared" si="6"/>
        <v>2.0044543429844097</v>
      </c>
      <c r="I391" s="298"/>
    </row>
    <row r="392" spans="1:9">
      <c r="A392" s="657"/>
      <c r="B392" s="657"/>
      <c r="C392" s="289"/>
      <c r="D392" s="283" t="s">
        <v>542</v>
      </c>
      <c r="E392" s="301">
        <f>'ZSP NW'!E158+'ZSO Kom'!E141</f>
        <v>2453</v>
      </c>
      <c r="F392" s="301">
        <f>'ZSP NW'!F158+'ZSO Kom'!F141</f>
        <v>2300</v>
      </c>
      <c r="G392" s="285">
        <f t="shared" si="6"/>
        <v>0.93762739502649817</v>
      </c>
      <c r="I392" s="298"/>
    </row>
    <row r="393" spans="1:9">
      <c r="A393" s="657"/>
      <c r="B393" s="657"/>
      <c r="C393" s="287">
        <v>4120</v>
      </c>
      <c r="D393" s="279" t="s">
        <v>301</v>
      </c>
      <c r="E393" s="307">
        <f>SUM(E394:E395)</f>
        <v>670</v>
      </c>
      <c r="F393" s="307">
        <f>SUM(F394:F395)</f>
        <v>980</v>
      </c>
      <c r="G393" s="285">
        <f t="shared" si="6"/>
        <v>1.4626865671641791</v>
      </c>
      <c r="I393" s="298"/>
    </row>
    <row r="394" spans="1:9">
      <c r="A394" s="657"/>
      <c r="B394" s="657"/>
      <c r="C394" s="289"/>
      <c r="D394" s="283" t="s">
        <v>622</v>
      </c>
      <c r="E394" s="301">
        <f>'ZSP NW'!E161+'ZSO Kom'!E143</f>
        <v>350</v>
      </c>
      <c r="F394" s="301">
        <f>'ZSP NW'!F161+'ZSO Kom'!F143</f>
        <v>330</v>
      </c>
      <c r="G394" s="285">
        <f t="shared" si="6"/>
        <v>0.94285714285714284</v>
      </c>
      <c r="I394" s="298"/>
    </row>
    <row r="395" spans="1:9">
      <c r="A395" s="657"/>
      <c r="B395" s="657"/>
      <c r="C395" s="289"/>
      <c r="D395" s="283" t="s">
        <v>621</v>
      </c>
      <c r="E395" s="301">
        <f>'ZSP NW'!E162+'Pd Mich'!F58</f>
        <v>320</v>
      </c>
      <c r="F395" s="301">
        <f>'ZSP NW'!F162+'Pd Mich'!G58</f>
        <v>650</v>
      </c>
      <c r="G395" s="285">
        <f t="shared" si="6"/>
        <v>2.03125</v>
      </c>
      <c r="I395" s="298"/>
    </row>
    <row r="396" spans="1:9" hidden="1">
      <c r="A396" s="657"/>
      <c r="B396" s="657"/>
      <c r="C396" s="287">
        <v>4210</v>
      </c>
      <c r="D396" s="279" t="s">
        <v>274</v>
      </c>
      <c r="E396" s="307" t="e">
        <f>E397</f>
        <v>#REF!</v>
      </c>
      <c r="F396" s="307" t="e">
        <f>F397</f>
        <v>#REF!</v>
      </c>
      <c r="G396" s="281" t="e">
        <f t="shared" si="6"/>
        <v>#REF!</v>
      </c>
      <c r="I396" s="298"/>
    </row>
    <row r="397" spans="1:9" hidden="1">
      <c r="A397" s="657"/>
      <c r="B397" s="657"/>
      <c r="C397" s="317"/>
      <c r="D397" s="306" t="s">
        <v>483</v>
      </c>
      <c r="E397" s="301" t="e">
        <f>#REF!+'Pd Mich'!F60</f>
        <v>#REF!</v>
      </c>
      <c r="F397" s="301" t="e">
        <f>#REF!+'Pd Mich'!G60</f>
        <v>#REF!</v>
      </c>
      <c r="G397" s="285" t="e">
        <f t="shared" si="6"/>
        <v>#REF!</v>
      </c>
      <c r="I397" s="298"/>
    </row>
    <row r="398" spans="1:9">
      <c r="A398" s="657"/>
      <c r="B398" s="657"/>
      <c r="C398" s="287">
        <v>4240</v>
      </c>
      <c r="D398" s="279" t="s">
        <v>179</v>
      </c>
      <c r="E398" s="307">
        <f>E399</f>
        <v>0</v>
      </c>
      <c r="F398" s="307">
        <f>F399</f>
        <v>3000</v>
      </c>
      <c r="G398" s="281" t="e">
        <f t="shared" si="6"/>
        <v>#DIV/0!</v>
      </c>
      <c r="I398" s="298"/>
    </row>
    <row r="399" spans="1:9">
      <c r="A399" s="657"/>
      <c r="B399" s="657"/>
      <c r="C399" s="289"/>
      <c r="D399" s="283" t="s">
        <v>486</v>
      </c>
      <c r="E399" s="301">
        <f>'Pd Mich'!F62</f>
        <v>0</v>
      </c>
      <c r="F399" s="301">
        <f>'Pd Mich'!G62</f>
        <v>3000</v>
      </c>
      <c r="G399" s="285" t="e">
        <f t="shared" si="6"/>
        <v>#DIV/0!</v>
      </c>
      <c r="I399" s="298"/>
    </row>
    <row r="400" spans="1:9" hidden="1">
      <c r="A400" s="657"/>
      <c r="B400" s="657"/>
      <c r="C400" s="287">
        <v>4300</v>
      </c>
      <c r="D400" s="279" t="s">
        <v>100</v>
      </c>
      <c r="E400" s="325">
        <f>E401</f>
        <v>0</v>
      </c>
      <c r="F400" s="307">
        <f>F401</f>
        <v>0</v>
      </c>
      <c r="G400" s="281" t="e">
        <f t="shared" ref="G400:G463" si="7">SUM(F400/E400)</f>
        <v>#DIV/0!</v>
      </c>
      <c r="I400" s="298"/>
    </row>
    <row r="401" spans="1:9" hidden="1">
      <c r="A401" s="657"/>
      <c r="B401" s="657"/>
      <c r="C401" s="289"/>
      <c r="D401" s="300" t="s">
        <v>487</v>
      </c>
      <c r="E401" s="326">
        <f>'ZSP NW'!E163+'Pd Mich'!F64</f>
        <v>0</v>
      </c>
      <c r="F401" s="301">
        <f>'ZSP NW'!F163+'Pd Mich'!G64</f>
        <v>0</v>
      </c>
      <c r="G401" s="285" t="e">
        <f t="shared" si="7"/>
        <v>#DIV/0!</v>
      </c>
      <c r="I401" s="298"/>
    </row>
    <row r="402" spans="1:9" ht="25.15" customHeight="1">
      <c r="A402" s="501" t="s">
        <v>726</v>
      </c>
      <c r="B402" s="667"/>
      <c r="C402" s="668"/>
      <c r="D402" s="669"/>
      <c r="E402" s="291">
        <f>E384+E387+E390+E393+E398+E400</f>
        <v>32699</v>
      </c>
      <c r="F402" s="291">
        <f>F384+F387+F390+F393+F398+F400</f>
        <v>50230</v>
      </c>
      <c r="G402" s="292">
        <f t="shared" si="7"/>
        <v>1.5361326034435303</v>
      </c>
      <c r="H402" s="274">
        <f>'ZSP NW'!F165+'Pd Mich'!G66+'ZSO Kom'!F145+CUW!F126</f>
        <v>2113630</v>
      </c>
      <c r="I402" s="304"/>
    </row>
    <row r="403" spans="1:9" ht="17.25" customHeight="1">
      <c r="A403" s="670">
        <v>801</v>
      </c>
      <c r="B403" s="672">
        <v>80150</v>
      </c>
      <c r="C403" s="327">
        <v>3020</v>
      </c>
      <c r="D403" s="279" t="s">
        <v>359</v>
      </c>
      <c r="E403" s="280">
        <f>SUM(E404:E405)</f>
        <v>25912</v>
      </c>
      <c r="F403" s="280">
        <f>SUM(F404:F405)</f>
        <v>43760</v>
      </c>
      <c r="G403" s="281">
        <f t="shared" si="7"/>
        <v>1.6887928372954615</v>
      </c>
      <c r="H403" s="274">
        <f>'ZS Mich'!F111+'ZSP NW'!F166+'ZSO Kom'!F146</f>
        <v>45760</v>
      </c>
      <c r="I403" s="298"/>
    </row>
    <row r="404" spans="1:9" ht="19.5" customHeight="1">
      <c r="A404" s="671"/>
      <c r="B404" s="673"/>
      <c r="C404" s="328"/>
      <c r="D404" s="283" t="s">
        <v>671</v>
      </c>
      <c r="E404" s="284">
        <f>SUM('ZS Mich'!E113+'ZSP NW'!E167+'ZSO Kom'!E147)</f>
        <v>25912</v>
      </c>
      <c r="F404" s="284">
        <f>SUM('ZS Mich'!F112+'ZSP NW'!F167+'ZSO Kom'!F147)</f>
        <v>41000</v>
      </c>
      <c r="G404" s="285">
        <f t="shared" si="7"/>
        <v>1.5822784810126582</v>
      </c>
      <c r="I404" s="298"/>
    </row>
    <row r="405" spans="1:9" ht="19.5" customHeight="1">
      <c r="A405" s="671"/>
      <c r="B405" s="673"/>
      <c r="C405" s="328"/>
      <c r="D405" s="283" t="str">
        <f>'ZS Mich'!D113</f>
        <v>dokształcanie nauczycieli SP</v>
      </c>
      <c r="E405" s="284">
        <f>'ZS Mich'!E113</f>
        <v>0</v>
      </c>
      <c r="F405" s="284">
        <f>'ZS Mich'!F113</f>
        <v>2760</v>
      </c>
      <c r="G405" s="285" t="e">
        <f t="shared" si="7"/>
        <v>#DIV/0!</v>
      </c>
      <c r="I405" s="298"/>
    </row>
    <row r="406" spans="1:9" ht="19.149999999999999" customHeight="1">
      <c r="A406" s="671"/>
      <c r="B406" s="673"/>
      <c r="C406" s="328">
        <v>4010</v>
      </c>
      <c r="D406" s="279" t="s">
        <v>348</v>
      </c>
      <c r="E406" s="284">
        <f>E407</f>
        <v>412839</v>
      </c>
      <c r="F406" s="284">
        <f>F407</f>
        <v>495000</v>
      </c>
      <c r="G406" s="285">
        <f t="shared" si="7"/>
        <v>1.1990146279784613</v>
      </c>
      <c r="I406" s="298"/>
    </row>
    <row r="407" spans="1:9" ht="18" customHeight="1">
      <c r="A407" s="671"/>
      <c r="B407" s="673"/>
      <c r="C407" s="328"/>
      <c r="D407" s="283" t="s">
        <v>297</v>
      </c>
      <c r="E407" s="284">
        <f>SUM('ZS Mich'!E115+'ZSP NW'!E170+'ZSO Kom'!E149)</f>
        <v>412839</v>
      </c>
      <c r="F407" s="284">
        <f>SUM('ZS Mich'!F115+'ZSP NW'!F170+'ZSO Kom'!F149)</f>
        <v>495000</v>
      </c>
      <c r="G407" s="285">
        <f t="shared" si="7"/>
        <v>1.1990146279784613</v>
      </c>
      <c r="I407" s="298"/>
    </row>
    <row r="408" spans="1:9" ht="16.5" customHeight="1">
      <c r="A408" s="671"/>
      <c r="B408" s="673"/>
      <c r="C408" s="287">
        <v>4110</v>
      </c>
      <c r="D408" s="279" t="s">
        <v>446</v>
      </c>
      <c r="E408" s="284">
        <f>E409</f>
        <v>80211</v>
      </c>
      <c r="F408" s="284">
        <f>F409</f>
        <v>92500</v>
      </c>
      <c r="G408" s="285">
        <f t="shared" si="7"/>
        <v>1.1532084128112103</v>
      </c>
      <c r="I408" s="298"/>
    </row>
    <row r="409" spans="1:9" ht="18.600000000000001" customHeight="1">
      <c r="A409" s="671"/>
      <c r="B409" s="673"/>
      <c r="C409" s="328"/>
      <c r="D409" s="283" t="s">
        <v>298</v>
      </c>
      <c r="E409" s="284">
        <f>SUM('ZS Mich'!E117+'ZSP NW'!E172+'ZSO Kom'!E151)</f>
        <v>80211</v>
      </c>
      <c r="F409" s="284">
        <f>SUM('ZS Mich'!F117+'ZSP NW'!F172+'ZSO Kom'!F151)</f>
        <v>92500</v>
      </c>
      <c r="G409" s="285">
        <f t="shared" si="7"/>
        <v>1.1532084128112103</v>
      </c>
      <c r="I409" s="298"/>
    </row>
    <row r="410" spans="1:9" ht="17.25" customHeight="1">
      <c r="A410" s="671"/>
      <c r="B410" s="673"/>
      <c r="C410" s="287">
        <v>4120</v>
      </c>
      <c r="D410" s="279" t="s">
        <v>301</v>
      </c>
      <c r="E410" s="284">
        <f>E411</f>
        <v>10146</v>
      </c>
      <c r="F410" s="284">
        <f>F411</f>
        <v>13100</v>
      </c>
      <c r="G410" s="285">
        <f t="shared" si="7"/>
        <v>1.2911492213680269</v>
      </c>
      <c r="I410" s="298"/>
    </row>
    <row r="411" spans="1:9" ht="18" customHeight="1">
      <c r="A411" s="671"/>
      <c r="B411" s="673"/>
      <c r="C411" s="328"/>
      <c r="D411" s="283" t="s">
        <v>103</v>
      </c>
      <c r="E411" s="284">
        <f>SUM('ZS Mich'!E119+'ZSP NW'!E174+'ZSO Kom'!E153)</f>
        <v>10146</v>
      </c>
      <c r="F411" s="284">
        <f>SUM('ZS Mich'!F119+'ZSP NW'!F174+'ZSO Kom'!F153)</f>
        <v>13100</v>
      </c>
      <c r="G411" s="285">
        <f t="shared" si="7"/>
        <v>1.2911492213680269</v>
      </c>
      <c r="I411" s="298"/>
    </row>
    <row r="412" spans="1:9" ht="20.25" customHeight="1">
      <c r="A412" s="671"/>
      <c r="B412" s="673"/>
      <c r="C412" s="287">
        <v>4210</v>
      </c>
      <c r="D412" s="279" t="s">
        <v>274</v>
      </c>
      <c r="E412" s="284">
        <f>E413</f>
        <v>4400</v>
      </c>
      <c r="F412" s="284">
        <f>SUM(F413:F414)</f>
        <v>2500</v>
      </c>
      <c r="G412" s="285">
        <f t="shared" si="7"/>
        <v>0.56818181818181823</v>
      </c>
      <c r="I412" s="298"/>
    </row>
    <row r="413" spans="1:9" ht="20.25" customHeight="1">
      <c r="A413" s="671"/>
      <c r="B413" s="673"/>
      <c r="C413" s="328"/>
      <c r="D413" s="21" t="s">
        <v>706</v>
      </c>
      <c r="E413" s="284">
        <f>SUM('ZSO Kom'!E155+'ZS Mich'!E120)</f>
        <v>4400</v>
      </c>
      <c r="F413" s="284">
        <f>SUM('ZSO Kom'!F155+'ZS Mich'!F120)</f>
        <v>2500</v>
      </c>
      <c r="G413" s="285">
        <f t="shared" si="7"/>
        <v>0.56818181818181823</v>
      </c>
      <c r="I413" s="298"/>
    </row>
    <row r="414" spans="1:9" ht="20.25" hidden="1" customHeight="1">
      <c r="A414" s="671"/>
      <c r="B414" s="673"/>
      <c r="C414" s="328"/>
      <c r="D414" s="283" t="s">
        <v>469</v>
      </c>
      <c r="E414" s="284">
        <f>SUM('ZS Mich'!E121+'ZSP NW'!E176+'ZSO Kom'!E156)</f>
        <v>1400</v>
      </c>
      <c r="F414" s="284">
        <f>SUM('ZS Mich'!F121+'ZSP NW'!F176+'ZSO Kom'!F156)</f>
        <v>0</v>
      </c>
      <c r="G414" s="285">
        <f t="shared" si="7"/>
        <v>0</v>
      </c>
      <c r="I414" s="298"/>
    </row>
    <row r="415" spans="1:9" ht="20.25" customHeight="1">
      <c r="A415" s="671"/>
      <c r="B415" s="673"/>
      <c r="C415" s="287">
        <v>4240</v>
      </c>
      <c r="D415" s="279" t="s">
        <v>179</v>
      </c>
      <c r="E415" s="284">
        <f>SUM(E416:E416)</f>
        <v>21840</v>
      </c>
      <c r="F415" s="284">
        <f>SUM(F416:F416)</f>
        <v>11000</v>
      </c>
      <c r="G415" s="285">
        <f t="shared" si="7"/>
        <v>0.50366300366300365</v>
      </c>
      <c r="I415" s="298"/>
    </row>
    <row r="416" spans="1:9" ht="20.25" customHeight="1">
      <c r="A416" s="671"/>
      <c r="B416" s="673"/>
      <c r="C416" s="328"/>
      <c r="D416" s="283" t="s">
        <v>543</v>
      </c>
      <c r="E416" s="284">
        <f>SUM('ZSP NW'!E178+'ZSO Kom'!E158+'ZS Mich'!E122)</f>
        <v>21840</v>
      </c>
      <c r="F416" s="284">
        <f>SUM('ZSP NW'!F178+'ZSO Kom'!F158+'ZS Mich'!F122)</f>
        <v>11000</v>
      </c>
      <c r="G416" s="285">
        <f t="shared" si="7"/>
        <v>0.50366300366300365</v>
      </c>
      <c r="I416" s="298"/>
    </row>
    <row r="417" spans="1:9" ht="20.25" customHeight="1">
      <c r="A417" s="671"/>
      <c r="B417" s="673"/>
      <c r="C417" s="287">
        <v>4270</v>
      </c>
      <c r="D417" s="279" t="s">
        <v>238</v>
      </c>
      <c r="E417" s="284">
        <f>E418</f>
        <v>2400</v>
      </c>
      <c r="F417" s="284">
        <f>F418</f>
        <v>3000</v>
      </c>
      <c r="G417" s="285">
        <f t="shared" si="7"/>
        <v>1.25</v>
      </c>
      <c r="I417" s="298"/>
    </row>
    <row r="418" spans="1:9" ht="20.25" customHeight="1">
      <c r="A418" s="671"/>
      <c r="B418" s="673"/>
      <c r="C418" s="287"/>
      <c r="D418" s="283" t="s">
        <v>672</v>
      </c>
      <c r="E418" s="284">
        <f>SUM('ZSP NW'!E182)</f>
        <v>2400</v>
      </c>
      <c r="F418" s="284">
        <f>SUM('ZSP NW'!F182)</f>
        <v>3000</v>
      </c>
      <c r="G418" s="285">
        <f t="shared" si="7"/>
        <v>1.25</v>
      </c>
      <c r="I418" s="298"/>
    </row>
    <row r="419" spans="1:9" ht="20.25" customHeight="1">
      <c r="A419" s="671"/>
      <c r="B419" s="673"/>
      <c r="C419" s="287">
        <v>4300</v>
      </c>
      <c r="D419" s="279" t="s">
        <v>100</v>
      </c>
      <c r="E419" s="284">
        <f>E420</f>
        <v>12960</v>
      </c>
      <c r="F419" s="284">
        <f>F420</f>
        <v>14100</v>
      </c>
      <c r="G419" s="285">
        <f>SUM(F419/E419)</f>
        <v>1.087962962962963</v>
      </c>
      <c r="I419" s="298"/>
    </row>
    <row r="420" spans="1:9" ht="20.25" customHeight="1">
      <c r="A420" s="671"/>
      <c r="B420" s="673"/>
      <c r="C420" s="287"/>
      <c r="D420" s="283" t="s">
        <v>666</v>
      </c>
      <c r="E420" s="284">
        <f>SUM('ZS Mich'!E126+'ZSP NW'!E183+'ZSO Kom'!E161)</f>
        <v>12960</v>
      </c>
      <c r="F420" s="284">
        <f>SUM('ZS Mich'!F126+'ZSP NW'!F183+'ZSO Kom'!F161)</f>
        <v>14100</v>
      </c>
      <c r="G420" s="285">
        <f>SUM(F420/E420)</f>
        <v>1.087962962962963</v>
      </c>
      <c r="I420" s="298"/>
    </row>
    <row r="421" spans="1:9" ht="20.25" customHeight="1">
      <c r="A421" s="671"/>
      <c r="B421" s="673"/>
      <c r="C421" s="287">
        <v>4700</v>
      </c>
      <c r="D421" s="279" t="s">
        <v>243</v>
      </c>
      <c r="E421" s="284">
        <f>E422</f>
        <v>7410</v>
      </c>
      <c r="F421" s="284">
        <f>F422</f>
        <v>10000</v>
      </c>
      <c r="G421" s="285">
        <f t="shared" si="7"/>
        <v>1.3495276653171391</v>
      </c>
      <c r="I421" s="298"/>
    </row>
    <row r="422" spans="1:9" ht="17.25" customHeight="1">
      <c r="A422" s="671"/>
      <c r="B422" s="673"/>
      <c r="C422" s="287"/>
      <c r="D422" s="21" t="s">
        <v>705</v>
      </c>
      <c r="E422" s="284">
        <f>SUM('ZS Mich'!E128+'ZSP NW'!E186+'ZSO Kom'!E163)</f>
        <v>7410</v>
      </c>
      <c r="F422" s="284">
        <f>SUM('ZS Mich'!F128+'ZSP NW'!F186+'ZSO Kom'!F163)</f>
        <v>10000</v>
      </c>
      <c r="G422" s="285">
        <f t="shared" si="7"/>
        <v>1.3495276653171391</v>
      </c>
      <c r="I422" s="298"/>
    </row>
    <row r="423" spans="1:9" ht="27.75" customHeight="1">
      <c r="A423" s="650" t="str">
        <f>'ZSO Kom'!A165:D165</f>
        <v>80150 Realizacja zadań wymagających stosowania specjalnej organizacji nauki i metod pracy dla dzieci i młodzieży w szkołach podstawowych: Razem</v>
      </c>
      <c r="B423" s="651"/>
      <c r="C423" s="652"/>
      <c r="D423" s="653"/>
      <c r="E423" s="291">
        <f>SUM(E403+E406+E408+E410+E412+E415+E417+E419+E421)</f>
        <v>578118</v>
      </c>
      <c r="F423" s="291">
        <f>SUM(F403+F406+F408+F410+F412+F415+F417+F419+F421)</f>
        <v>684960</v>
      </c>
      <c r="G423" s="292">
        <f t="shared" si="7"/>
        <v>1.1848100214835033</v>
      </c>
      <c r="H423" s="274">
        <f>'ZS Mich'!F130+'ZSP NW'!F188+'ZSO Kom'!F165</f>
        <v>686960</v>
      </c>
      <c r="I423" s="304">
        <f>H423-F423</f>
        <v>2000</v>
      </c>
    </row>
    <row r="424" spans="1:9" ht="18" customHeight="1">
      <c r="A424" s="495">
        <v>801</v>
      </c>
      <c r="B424" s="674">
        <v>80152</v>
      </c>
      <c r="C424" s="670">
        <v>3020</v>
      </c>
      <c r="D424" s="279" t="s">
        <v>359</v>
      </c>
      <c r="E424" s="280">
        <f>SUM(E425:E426)</f>
        <v>19960</v>
      </c>
      <c r="F424" s="280">
        <f>SUM(F425:F426)</f>
        <v>2550</v>
      </c>
      <c r="G424" s="281">
        <f t="shared" si="7"/>
        <v>0.12775551102204408</v>
      </c>
      <c r="I424" s="304"/>
    </row>
    <row r="425" spans="1:9" ht="21" customHeight="1">
      <c r="A425" s="496"/>
      <c r="B425" s="675"/>
      <c r="C425" s="677"/>
      <c r="D425" s="283" t="s">
        <v>669</v>
      </c>
      <c r="E425" s="284">
        <f>'ZSO Kom'!E167</f>
        <v>9640</v>
      </c>
      <c r="F425" s="284">
        <f>'ZSO Kom'!F167</f>
        <v>900</v>
      </c>
      <c r="G425" s="285">
        <f t="shared" si="7"/>
        <v>9.3360995850622408E-2</v>
      </c>
      <c r="I425" s="304"/>
    </row>
    <row r="426" spans="1:9" ht="15.6" customHeight="1">
      <c r="A426" s="496"/>
      <c r="B426" s="675"/>
      <c r="C426" s="678"/>
      <c r="D426" s="283" t="s">
        <v>670</v>
      </c>
      <c r="E426" s="284">
        <f>'ZSO Kom'!E168</f>
        <v>10320</v>
      </c>
      <c r="F426" s="284">
        <f>'ZSO Kom'!F168</f>
        <v>1650</v>
      </c>
      <c r="G426" s="285">
        <f t="shared" si="7"/>
        <v>0.15988372093023256</v>
      </c>
      <c r="I426" s="304"/>
    </row>
    <row r="427" spans="1:9" ht="17.45" customHeight="1">
      <c r="A427" s="496"/>
      <c r="B427" s="675"/>
      <c r="C427" s="679">
        <v>4010</v>
      </c>
      <c r="D427" s="279" t="s">
        <v>348</v>
      </c>
      <c r="E427" s="284">
        <f>SUM(E428:E429)</f>
        <v>166791</v>
      </c>
      <c r="F427" s="284">
        <f>SUM(F428:F429)</f>
        <v>32000</v>
      </c>
      <c r="G427" s="285">
        <f t="shared" si="7"/>
        <v>0.19185687477142052</v>
      </c>
      <c r="I427" s="304"/>
    </row>
    <row r="428" spans="1:9" ht="22.9" customHeight="1">
      <c r="A428" s="496"/>
      <c r="B428" s="675"/>
      <c r="C428" s="680"/>
      <c r="D428" s="283" t="s">
        <v>505</v>
      </c>
      <c r="E428" s="284">
        <f>'ZSO Kom'!E170</f>
        <v>90153</v>
      </c>
      <c r="F428" s="284">
        <f>'ZSO Kom'!F170</f>
        <v>11000</v>
      </c>
      <c r="G428" s="285">
        <f t="shared" si="7"/>
        <v>0.12201479706720797</v>
      </c>
      <c r="I428" s="304"/>
    </row>
    <row r="429" spans="1:9" ht="21.6" customHeight="1">
      <c r="A429" s="496"/>
      <c r="B429" s="675"/>
      <c r="C429" s="681"/>
      <c r="D429" s="283" t="s">
        <v>101</v>
      </c>
      <c r="E429" s="284">
        <f>'ZSO Kom'!E171</f>
        <v>76638</v>
      </c>
      <c r="F429" s="284">
        <f>'ZSO Kom'!F171</f>
        <v>21000</v>
      </c>
      <c r="G429" s="285">
        <f t="shared" si="7"/>
        <v>0.27401550144836767</v>
      </c>
      <c r="I429" s="304"/>
    </row>
    <row r="430" spans="1:9" ht="21.6" customHeight="1">
      <c r="A430" s="496"/>
      <c r="B430" s="675"/>
      <c r="C430" s="656">
        <v>4110</v>
      </c>
      <c r="D430" s="279" t="s">
        <v>446</v>
      </c>
      <c r="E430" s="284">
        <f>SUM(E431:E432)</f>
        <v>32532</v>
      </c>
      <c r="F430" s="284">
        <f>SUM(F431:F432)</f>
        <v>5800</v>
      </c>
      <c r="G430" s="285">
        <f t="shared" si="7"/>
        <v>0.17828599532767736</v>
      </c>
      <c r="I430" s="304"/>
    </row>
    <row r="431" spans="1:9" ht="16.899999999999999" customHeight="1">
      <c r="A431" s="496"/>
      <c r="B431" s="675"/>
      <c r="C431" s="657"/>
      <c r="D431" s="283" t="s">
        <v>506</v>
      </c>
      <c r="E431" s="284">
        <f>'ZSO Kom'!E173</f>
        <v>17584</v>
      </c>
      <c r="F431" s="284">
        <f>'ZSO Kom'!F173</f>
        <v>2000</v>
      </c>
      <c r="G431" s="285">
        <f t="shared" si="7"/>
        <v>0.11373976342129208</v>
      </c>
      <c r="I431" s="304"/>
    </row>
    <row r="432" spans="1:9" ht="14.45" customHeight="1">
      <c r="A432" s="496"/>
      <c r="B432" s="675"/>
      <c r="C432" s="658"/>
      <c r="D432" s="283" t="s">
        <v>102</v>
      </c>
      <c r="E432" s="284">
        <f>'ZSO Kom'!E174</f>
        <v>14948</v>
      </c>
      <c r="F432" s="284">
        <f>'ZSO Kom'!F174</f>
        <v>3800</v>
      </c>
      <c r="G432" s="285">
        <f t="shared" si="7"/>
        <v>0.25421461065025419</v>
      </c>
      <c r="I432" s="304"/>
    </row>
    <row r="433" spans="1:9" ht="14.45" customHeight="1">
      <c r="A433" s="496"/>
      <c r="B433" s="675"/>
      <c r="C433" s="656">
        <v>4120</v>
      </c>
      <c r="D433" s="279" t="s">
        <v>301</v>
      </c>
      <c r="E433" s="284">
        <f>SUM(E434:E435)</f>
        <v>4637</v>
      </c>
      <c r="F433" s="284">
        <f>SUM(F434:F435)</f>
        <v>840</v>
      </c>
      <c r="G433" s="285">
        <f>SUM(F433/E433)</f>
        <v>0.18115160664222557</v>
      </c>
      <c r="I433" s="304"/>
    </row>
    <row r="434" spans="1:9" ht="14.45" customHeight="1">
      <c r="A434" s="496"/>
      <c r="B434" s="675"/>
      <c r="C434" s="657"/>
      <c r="D434" s="283" t="s">
        <v>507</v>
      </c>
      <c r="E434" s="284">
        <f>'ZSO Kom'!E176</f>
        <v>2506</v>
      </c>
      <c r="F434" s="284">
        <f>'ZSO Kom'!F176</f>
        <v>290</v>
      </c>
      <c r="G434" s="285">
        <f>SUM(F434/E434)</f>
        <v>0.11572226656025539</v>
      </c>
      <c r="I434" s="304"/>
    </row>
    <row r="435" spans="1:9" ht="14.45" customHeight="1">
      <c r="A435" s="496"/>
      <c r="B435" s="675"/>
      <c r="C435" s="658"/>
      <c r="D435" s="283" t="s">
        <v>104</v>
      </c>
      <c r="E435" s="284">
        <f>'ZSO Kom'!E177</f>
        <v>2131</v>
      </c>
      <c r="F435" s="284">
        <f>'ZSO Kom'!F177</f>
        <v>550</v>
      </c>
      <c r="G435" s="285">
        <f>SUM(F435/E435)</f>
        <v>0.25809479117785078</v>
      </c>
      <c r="I435" s="304"/>
    </row>
    <row r="436" spans="1:9" ht="20.45" customHeight="1">
      <c r="A436" s="496"/>
      <c r="B436" s="675"/>
      <c r="C436" s="656">
        <v>4240</v>
      </c>
      <c r="D436" s="279" t="s">
        <v>179</v>
      </c>
      <c r="E436" s="284">
        <f>E437</f>
        <v>1000</v>
      </c>
      <c r="F436" s="284">
        <f>F437</f>
        <v>1000</v>
      </c>
      <c r="G436" s="285">
        <f t="shared" si="7"/>
        <v>1</v>
      </c>
      <c r="I436" s="304"/>
    </row>
    <row r="437" spans="1:9" ht="19.899999999999999" customHeight="1">
      <c r="A437" s="496"/>
      <c r="B437" s="675"/>
      <c r="C437" s="658"/>
      <c r="D437" s="21" t="s">
        <v>757</v>
      </c>
      <c r="E437" s="284">
        <f>'ZSO Kom'!E178</f>
        <v>1000</v>
      </c>
      <c r="F437" s="284">
        <f>'ZSO Kom'!F178</f>
        <v>1000</v>
      </c>
      <c r="G437" s="285">
        <f t="shared" si="7"/>
        <v>1</v>
      </c>
      <c r="I437" s="304"/>
    </row>
    <row r="438" spans="1:9" ht="19.899999999999999" customHeight="1">
      <c r="A438" s="496"/>
      <c r="B438" s="675"/>
      <c r="C438" s="656">
        <v>4700</v>
      </c>
      <c r="D438" s="279" t="s">
        <v>243</v>
      </c>
      <c r="E438" s="284">
        <f>E439</f>
        <v>1500</v>
      </c>
      <c r="F438" s="284">
        <f>F439</f>
        <v>800</v>
      </c>
      <c r="G438" s="285">
        <f t="shared" si="7"/>
        <v>0.53333333333333333</v>
      </c>
      <c r="I438" s="304"/>
    </row>
    <row r="439" spans="1:9" ht="24" customHeight="1">
      <c r="A439" s="528"/>
      <c r="B439" s="676"/>
      <c r="C439" s="658"/>
      <c r="D439" s="21" t="s">
        <v>758</v>
      </c>
      <c r="E439" s="284">
        <f>'ZSO Kom'!E180</f>
        <v>1500</v>
      </c>
      <c r="F439" s="284">
        <f>'ZSO Kom'!F180</f>
        <v>800</v>
      </c>
      <c r="G439" s="285">
        <f t="shared" si="7"/>
        <v>0.53333333333333333</v>
      </c>
      <c r="I439" s="304"/>
    </row>
    <row r="440" spans="1:9" ht="39.6" customHeight="1">
      <c r="A440" s="682" t="str">
        <f>'ZSO Kom'!A182:D182</f>
        <v>80152 Realizacja zadań wymagających stosowania specjalnej organizacji nauki i metod pracy dla dzieci i młodzieży w  gimnazjach i klasach dotychczasowego gimnazjum prowadzonych w innych typach szkół, liceach ogólnokształcących, technikach, branżowych szkołach I stopnia i klasach dotychczasowej zasadniczej szkoły zawodowej prowadzonych w branżowych szkołach I stopnia oraz  szkołach artystycznych : Razem</v>
      </c>
      <c r="B440" s="668"/>
      <c r="C440" s="668"/>
      <c r="D440" s="683"/>
      <c r="E440" s="291">
        <f>SUM(E424+E427+E430+E433+E438+E436)</f>
        <v>226420</v>
      </c>
      <c r="F440" s="291">
        <f>SUM(F424+F427+F430+F433+F438+F436)</f>
        <v>42990</v>
      </c>
      <c r="G440" s="292">
        <f t="shared" si="7"/>
        <v>0.18986838618496599</v>
      </c>
      <c r="I440" s="304"/>
    </row>
    <row r="441" spans="1:9" ht="17.25" customHeight="1">
      <c r="A441" s="93">
        <v>801</v>
      </c>
      <c r="B441" s="93">
        <v>80153</v>
      </c>
      <c r="C441" s="447">
        <v>4210</v>
      </c>
      <c r="D441" s="279" t="s">
        <v>274</v>
      </c>
      <c r="E441" s="82">
        <f>E442</f>
        <v>2310.36</v>
      </c>
      <c r="F441" s="82">
        <f>F442</f>
        <v>0</v>
      </c>
      <c r="G441" s="23">
        <f t="shared" si="7"/>
        <v>0</v>
      </c>
      <c r="I441" s="304"/>
    </row>
    <row r="442" spans="1:9" ht="16.5" customHeight="1">
      <c r="A442" s="452"/>
      <c r="B442" s="452"/>
      <c r="C442" s="453"/>
      <c r="D442" s="21" t="s">
        <v>689</v>
      </c>
      <c r="E442" s="82">
        <f>CUW!E127</f>
        <v>2310.36</v>
      </c>
      <c r="F442" s="82"/>
      <c r="G442" s="23">
        <f t="shared" si="7"/>
        <v>0</v>
      </c>
      <c r="I442" s="304"/>
    </row>
    <row r="443" spans="1:9" ht="21" customHeight="1">
      <c r="A443" s="452"/>
      <c r="B443" s="452"/>
      <c r="C443" s="287">
        <v>4240</v>
      </c>
      <c r="D443" s="279" t="s">
        <v>179</v>
      </c>
      <c r="E443" s="82">
        <f>SUM(E444:E452)</f>
        <v>230967.63999999998</v>
      </c>
      <c r="F443" s="82">
        <f>SUM(F444:F452)</f>
        <v>0</v>
      </c>
      <c r="G443" s="23">
        <f t="shared" si="7"/>
        <v>0</v>
      </c>
      <c r="I443" s="304"/>
    </row>
    <row r="444" spans="1:9" ht="20.25" customHeight="1">
      <c r="A444" s="452"/>
      <c r="B444" s="452"/>
      <c r="C444" s="448"/>
      <c r="D444" s="21" t="s">
        <v>690</v>
      </c>
      <c r="E444" s="82">
        <f>'ZSO Kom'!E184</f>
        <v>66339.899999999994</v>
      </c>
      <c r="F444" s="82">
        <f>'ZSO Kom'!F184</f>
        <v>0</v>
      </c>
      <c r="G444" s="23">
        <f t="shared" si="7"/>
        <v>0</v>
      </c>
      <c r="I444" s="304"/>
    </row>
    <row r="445" spans="1:9" ht="20.25" customHeight="1">
      <c r="A445" s="452"/>
      <c r="B445" s="452"/>
      <c r="C445" s="448"/>
      <c r="D445" s="21" t="s">
        <v>691</v>
      </c>
      <c r="E445" s="82">
        <f>'ZSO Kom'!E185</f>
        <v>2450.25</v>
      </c>
      <c r="F445" s="82">
        <f>'ZSO Kom'!F185</f>
        <v>0</v>
      </c>
      <c r="G445" s="23">
        <f t="shared" si="7"/>
        <v>0</v>
      </c>
      <c r="I445" s="304"/>
    </row>
    <row r="446" spans="1:9" ht="20.25" customHeight="1">
      <c r="A446" s="452"/>
      <c r="B446" s="452"/>
      <c r="C446" s="448"/>
      <c r="D446" s="21" t="s">
        <v>696</v>
      </c>
      <c r="E446" s="82">
        <f>'ZSO Kom'!E186</f>
        <v>423.28</v>
      </c>
      <c r="F446" s="82">
        <f>'ZSO Kom'!F186</f>
        <v>0</v>
      </c>
      <c r="G446" s="23">
        <f t="shared" si="7"/>
        <v>0</v>
      </c>
      <c r="I446" s="304"/>
    </row>
    <row r="447" spans="1:9" ht="17.25" customHeight="1">
      <c r="A447" s="452"/>
      <c r="B447" s="452"/>
      <c r="C447" s="448"/>
      <c r="D447" s="21" t="s">
        <v>692</v>
      </c>
      <c r="E447" s="82">
        <f>'ZS Mich'!E132</f>
        <v>96138.9</v>
      </c>
      <c r="F447" s="82">
        <f>'ZS Mich'!F132</f>
        <v>0</v>
      </c>
      <c r="G447" s="23">
        <f t="shared" si="7"/>
        <v>0</v>
      </c>
      <c r="I447" s="304"/>
    </row>
    <row r="448" spans="1:9" ht="18" customHeight="1">
      <c r="A448" s="452"/>
      <c r="B448" s="452"/>
      <c r="C448" s="448"/>
      <c r="D448" s="21" t="s">
        <v>693</v>
      </c>
      <c r="E448" s="82">
        <f>'ZS Mich'!E133</f>
        <v>1856.25</v>
      </c>
      <c r="F448" s="82">
        <f>'ZS Mich'!F133</f>
        <v>0</v>
      </c>
      <c r="G448" s="23">
        <f t="shared" si="7"/>
        <v>0</v>
      </c>
      <c r="I448" s="304"/>
    </row>
    <row r="449" spans="1:9" ht="18" customHeight="1">
      <c r="A449" s="452"/>
      <c r="B449" s="452"/>
      <c r="C449" s="448"/>
      <c r="D449" s="21" t="s">
        <v>697</v>
      </c>
      <c r="E449" s="82">
        <f>'ZS Mich'!E134</f>
        <v>311.16000000000003</v>
      </c>
      <c r="F449" s="82">
        <f>'ZS Mich'!F134</f>
        <v>0</v>
      </c>
      <c r="G449" s="23">
        <f t="shared" si="7"/>
        <v>0</v>
      </c>
      <c r="I449" s="304"/>
    </row>
    <row r="450" spans="1:9" ht="18" customHeight="1">
      <c r="A450" s="452"/>
      <c r="B450" s="452"/>
      <c r="C450" s="448"/>
      <c r="D450" s="21" t="s">
        <v>694</v>
      </c>
      <c r="E450" s="82">
        <f>'ZSP NW'!E190</f>
        <v>62092.800000000003</v>
      </c>
      <c r="F450" s="82">
        <f>'ZSP NW'!F190</f>
        <v>0</v>
      </c>
      <c r="G450" s="23">
        <f t="shared" si="7"/>
        <v>0</v>
      </c>
      <c r="I450" s="304"/>
    </row>
    <row r="451" spans="1:9" ht="18.75" customHeight="1">
      <c r="A451" s="452"/>
      <c r="B451" s="452"/>
      <c r="C451" s="448"/>
      <c r="D451" s="21" t="s">
        <v>695</v>
      </c>
      <c r="E451" s="82">
        <f>'ZSP NW'!E191</f>
        <v>1113.75</v>
      </c>
      <c r="F451" s="82">
        <f>'ZSP NW'!F191</f>
        <v>0</v>
      </c>
      <c r="G451" s="23">
        <f t="shared" si="7"/>
        <v>0</v>
      </c>
      <c r="I451" s="304"/>
    </row>
    <row r="452" spans="1:9" ht="18.75" customHeight="1">
      <c r="A452" s="453"/>
      <c r="B452" s="453"/>
      <c r="C452" s="449"/>
      <c r="D452" s="21" t="s">
        <v>698</v>
      </c>
      <c r="E452" s="82">
        <f>'ZSP NW'!E192</f>
        <v>241.35</v>
      </c>
      <c r="F452" s="82">
        <f>'ZSP NW'!F192</f>
        <v>0</v>
      </c>
      <c r="G452" s="23">
        <f t="shared" si="7"/>
        <v>0</v>
      </c>
      <c r="I452" s="304"/>
    </row>
    <row r="453" spans="1:9" ht="28.5" customHeight="1">
      <c r="A453" s="512" t="s">
        <v>699</v>
      </c>
      <c r="B453" s="684"/>
      <c r="C453" s="684"/>
      <c r="D453" s="685"/>
      <c r="E453" s="291">
        <f>E441+E443</f>
        <v>233277.99999999997</v>
      </c>
      <c r="F453" s="291">
        <f>F441+F443</f>
        <v>0</v>
      </c>
      <c r="G453" s="292">
        <f t="shared" si="7"/>
        <v>0</v>
      </c>
      <c r="I453" s="304"/>
    </row>
    <row r="454" spans="1:9" ht="17.25" customHeight="1">
      <c r="A454" s="679">
        <v>801</v>
      </c>
      <c r="B454" s="679">
        <v>80195</v>
      </c>
      <c r="C454" s="686">
        <v>3040</v>
      </c>
      <c r="D454" s="323" t="s">
        <v>476</v>
      </c>
      <c r="E454" s="81">
        <f>E455</f>
        <v>0</v>
      </c>
      <c r="F454" s="81">
        <f>F455</f>
        <v>57260</v>
      </c>
      <c r="G454" s="19" t="e">
        <f t="shared" si="7"/>
        <v>#DIV/0!</v>
      </c>
      <c r="I454" s="304"/>
    </row>
    <row r="455" spans="1:9" ht="16.5" customHeight="1">
      <c r="A455" s="680"/>
      <c r="B455" s="680"/>
      <c r="C455" s="687"/>
      <c r="D455" s="146" t="s">
        <v>809</v>
      </c>
      <c r="E455" s="82">
        <f>CUW!E131</f>
        <v>0</v>
      </c>
      <c r="F455" s="82">
        <f>CUW!F131</f>
        <v>57260</v>
      </c>
      <c r="G455" s="23" t="e">
        <f t="shared" si="7"/>
        <v>#DIV/0!</v>
      </c>
      <c r="I455" s="304"/>
    </row>
    <row r="456" spans="1:9" ht="18" customHeight="1">
      <c r="A456" s="680"/>
      <c r="B456" s="680"/>
      <c r="C456" s="688">
        <v>4010</v>
      </c>
      <c r="D456" s="329" t="s">
        <v>348</v>
      </c>
      <c r="E456" s="330">
        <f>E457</f>
        <v>50776</v>
      </c>
      <c r="F456" s="330">
        <f>F457</f>
        <v>0</v>
      </c>
      <c r="G456" s="281">
        <f t="shared" si="7"/>
        <v>0</v>
      </c>
      <c r="I456" s="304"/>
    </row>
    <row r="457" spans="1:9" ht="18" customHeight="1">
      <c r="A457" s="680"/>
      <c r="B457" s="680"/>
      <c r="C457" s="689"/>
      <c r="D457" s="146" t="s">
        <v>809</v>
      </c>
      <c r="E457" s="332">
        <f>CUW!E133</f>
        <v>50776</v>
      </c>
      <c r="F457" s="332">
        <f>CUW!F133</f>
        <v>0</v>
      </c>
      <c r="G457" s="285">
        <f t="shared" si="7"/>
        <v>0</v>
      </c>
      <c r="I457" s="304"/>
    </row>
    <row r="458" spans="1:9" ht="18" customHeight="1">
      <c r="A458" s="680"/>
      <c r="B458" s="680"/>
      <c r="C458" s="690">
        <v>4110</v>
      </c>
      <c r="D458" s="279" t="s">
        <v>446</v>
      </c>
      <c r="E458" s="330">
        <f>E459</f>
        <v>10160</v>
      </c>
      <c r="F458" s="330">
        <f>F459</f>
        <v>0</v>
      </c>
      <c r="G458" s="281">
        <f t="shared" si="7"/>
        <v>0</v>
      </c>
      <c r="I458" s="304"/>
    </row>
    <row r="459" spans="1:9" ht="18" customHeight="1">
      <c r="A459" s="680"/>
      <c r="B459" s="680"/>
      <c r="C459" s="691"/>
      <c r="D459" s="283" t="s">
        <v>45</v>
      </c>
      <c r="E459" s="332">
        <f>CUW!E135</f>
        <v>10160</v>
      </c>
      <c r="F459" s="332">
        <f>CUW!F135</f>
        <v>0</v>
      </c>
      <c r="G459" s="285">
        <f t="shared" si="7"/>
        <v>0</v>
      </c>
      <c r="I459" s="304"/>
    </row>
    <row r="460" spans="1:9" ht="18" customHeight="1">
      <c r="A460" s="680"/>
      <c r="B460" s="680"/>
      <c r="C460" s="690">
        <v>4120</v>
      </c>
      <c r="D460" s="279" t="s">
        <v>301</v>
      </c>
      <c r="E460" s="330">
        <f>E461</f>
        <v>1373</v>
      </c>
      <c r="F460" s="330">
        <f>F461</f>
        <v>0</v>
      </c>
      <c r="G460" s="281">
        <f t="shared" si="7"/>
        <v>0</v>
      </c>
      <c r="I460" s="304"/>
    </row>
    <row r="461" spans="1:9" ht="18" customHeight="1">
      <c r="A461" s="680"/>
      <c r="B461" s="680"/>
      <c r="C461" s="691"/>
      <c r="D461" s="283" t="s">
        <v>46</v>
      </c>
      <c r="E461" s="332">
        <f>CUW!E137</f>
        <v>1373</v>
      </c>
      <c r="F461" s="332">
        <f>CUW!F137</f>
        <v>0</v>
      </c>
      <c r="G461" s="285">
        <f t="shared" si="7"/>
        <v>0</v>
      </c>
      <c r="I461" s="304"/>
    </row>
    <row r="462" spans="1:9" ht="21.75" customHeight="1">
      <c r="A462" s="680"/>
      <c r="B462" s="680"/>
      <c r="C462" s="690">
        <v>4170</v>
      </c>
      <c r="D462" s="279" t="s">
        <v>235</v>
      </c>
      <c r="E462" s="330">
        <f>E463</f>
        <v>5000</v>
      </c>
      <c r="F462" s="330">
        <f>F463</f>
        <v>5000</v>
      </c>
      <c r="G462" s="281">
        <f t="shared" si="7"/>
        <v>1</v>
      </c>
      <c r="I462" s="304"/>
    </row>
    <row r="463" spans="1:9" ht="20.25" customHeight="1">
      <c r="A463" s="681"/>
      <c r="B463" s="681"/>
      <c r="C463" s="691"/>
      <c r="D463" s="21" t="s">
        <v>747</v>
      </c>
      <c r="E463" s="332">
        <f>CUW!E139</f>
        <v>5000</v>
      </c>
      <c r="F463" s="332">
        <f>CUW!F139</f>
        <v>5000</v>
      </c>
      <c r="G463" s="285">
        <f t="shared" si="7"/>
        <v>1</v>
      </c>
      <c r="I463" s="304"/>
    </row>
    <row r="464" spans="1:9" ht="18.75" customHeight="1">
      <c r="A464" s="694" t="s">
        <v>679</v>
      </c>
      <c r="B464" s="684"/>
      <c r="C464" s="684"/>
      <c r="D464" s="685"/>
      <c r="E464" s="333">
        <f>E454+E456+E458+E460+E462</f>
        <v>67309</v>
      </c>
      <c r="F464" s="333">
        <f>F454+F456+F458+F460+F462</f>
        <v>62260</v>
      </c>
      <c r="G464" s="292">
        <f t="shared" ref="G464:G516" si="8">SUM(F464/E464)</f>
        <v>0.92498774309527698</v>
      </c>
      <c r="I464" s="304"/>
    </row>
    <row r="465" spans="1:10">
      <c r="A465" s="695" t="s">
        <v>49</v>
      </c>
      <c r="B465" s="696"/>
      <c r="C465" s="696"/>
      <c r="D465" s="696"/>
      <c r="E465" s="291">
        <f>SUM(E131+E175+E244+E323+E327+E367+E383+E402+E423+E440+E453+E464)</f>
        <v>28891467</v>
      </c>
      <c r="F465" s="291">
        <f>SUM(F131+F175+F244+F323+F327+F367+F383+F402+F423+F440+F453+F464)</f>
        <v>31236167</v>
      </c>
      <c r="G465" s="292">
        <f t="shared" si="8"/>
        <v>1.0811554498080695</v>
      </c>
      <c r="H465" s="315"/>
      <c r="I465" s="298"/>
      <c r="J465" s="298"/>
    </row>
    <row r="466" spans="1:10">
      <c r="A466" s="287">
        <v>803</v>
      </c>
      <c r="B466" s="287">
        <v>80309</v>
      </c>
      <c r="C466" s="287">
        <v>3210</v>
      </c>
      <c r="D466" s="287" t="s">
        <v>334</v>
      </c>
      <c r="E466" s="280">
        <f>SUM(E467)</f>
        <v>53000</v>
      </c>
      <c r="F466" s="280">
        <f>SUM(F467)</f>
        <v>53000</v>
      </c>
      <c r="G466" s="281">
        <f t="shared" si="8"/>
        <v>1</v>
      </c>
    </row>
    <row r="467" spans="1:10">
      <c r="A467" s="289"/>
      <c r="B467" s="289"/>
      <c r="C467" s="289"/>
      <c r="D467" s="289" t="s">
        <v>74</v>
      </c>
      <c r="E467" s="284">
        <f>SUM(CUW!E144)</f>
        <v>53000</v>
      </c>
      <c r="F467" s="284">
        <f>SUM(CUW!F144)</f>
        <v>53000</v>
      </c>
      <c r="G467" s="285">
        <f t="shared" si="8"/>
        <v>1</v>
      </c>
    </row>
    <row r="468" spans="1:10" ht="16.5" customHeight="1">
      <c r="A468" s="659" t="s">
        <v>50</v>
      </c>
      <c r="B468" s="697"/>
      <c r="C468" s="697"/>
      <c r="D468" s="698"/>
      <c r="E468" s="291">
        <f>SUM(E466)</f>
        <v>53000</v>
      </c>
      <c r="F468" s="291">
        <f>SUM(F466)</f>
        <v>53000</v>
      </c>
      <c r="G468" s="292">
        <f t="shared" si="8"/>
        <v>1</v>
      </c>
    </row>
    <row r="469" spans="1:10" ht="15.75" customHeight="1">
      <c r="A469" s="311" t="s">
        <v>404</v>
      </c>
      <c r="B469" s="289"/>
      <c r="C469" s="289"/>
      <c r="D469" s="289"/>
      <c r="E469" s="291">
        <f>SUM(E468)</f>
        <v>53000</v>
      </c>
      <c r="F469" s="291">
        <f>SUM(F468)</f>
        <v>53000</v>
      </c>
      <c r="G469" s="292">
        <f t="shared" si="8"/>
        <v>1</v>
      </c>
      <c r="H469" s="315"/>
    </row>
    <row r="470" spans="1:10">
      <c r="A470" s="656">
        <v>854</v>
      </c>
      <c r="B470" s="656">
        <v>85401</v>
      </c>
      <c r="C470" s="287">
        <v>3020</v>
      </c>
      <c r="D470" s="279" t="s">
        <v>357</v>
      </c>
      <c r="E470" s="280">
        <f>SUM(E471:E473)</f>
        <v>179460</v>
      </c>
      <c r="F470" s="280">
        <f>SUM(F471:F473)</f>
        <v>127500</v>
      </c>
      <c r="G470" s="281">
        <f t="shared" si="8"/>
        <v>0.71046472751588097</v>
      </c>
    </row>
    <row r="471" spans="1:10" ht="21" customHeight="1">
      <c r="A471" s="657"/>
      <c r="B471" s="657"/>
      <c r="C471" s="289"/>
      <c r="D471" s="21" t="s">
        <v>804</v>
      </c>
      <c r="E471" s="284">
        <f>SUM('ZSO Kom'!E189)</f>
        <v>82500</v>
      </c>
      <c r="F471" s="284">
        <f>SUM('ZSO Kom'!F189)</f>
        <v>57500</v>
      </c>
      <c r="G471" s="285">
        <f t="shared" si="8"/>
        <v>0.69696969696969702</v>
      </c>
    </row>
    <row r="472" spans="1:10" ht="22.5" customHeight="1">
      <c r="A472" s="657"/>
      <c r="B472" s="657"/>
      <c r="C472" s="289"/>
      <c r="D472" s="21" t="s">
        <v>805</v>
      </c>
      <c r="E472" s="284">
        <f>SUM('ZS Mich'!E137)</f>
        <v>51000</v>
      </c>
      <c r="F472" s="284">
        <f>SUM('ZS Mich'!F137)</f>
        <v>45000</v>
      </c>
      <c r="G472" s="285">
        <f t="shared" si="8"/>
        <v>0.88235294117647056</v>
      </c>
    </row>
    <row r="473" spans="1:10" ht="18.75" customHeight="1">
      <c r="A473" s="657"/>
      <c r="B473" s="657"/>
      <c r="C473" s="289"/>
      <c r="D473" s="21" t="s">
        <v>806</v>
      </c>
      <c r="E473" s="284">
        <f>SUM('ZSP NW'!E195)</f>
        <v>45960</v>
      </c>
      <c r="F473" s="284">
        <f>SUM('ZSP NW'!F195)</f>
        <v>25000</v>
      </c>
      <c r="G473" s="285">
        <f t="shared" si="8"/>
        <v>0.54395126196692778</v>
      </c>
    </row>
    <row r="474" spans="1:10" ht="18" customHeight="1">
      <c r="A474" s="657"/>
      <c r="B474" s="657"/>
      <c r="C474" s="287">
        <v>4010</v>
      </c>
      <c r="D474" s="279" t="s">
        <v>348</v>
      </c>
      <c r="E474" s="280">
        <f>SUM(E475:E479)</f>
        <v>1338690</v>
      </c>
      <c r="F474" s="280">
        <f>SUM(F475:F479)</f>
        <v>1474000</v>
      </c>
      <c r="G474" s="281">
        <f t="shared" si="8"/>
        <v>1.1010764254607115</v>
      </c>
    </row>
    <row r="475" spans="1:10" ht="30" customHeight="1">
      <c r="A475" s="657"/>
      <c r="B475" s="657"/>
      <c r="C475" s="289"/>
      <c r="D475" s="283" t="s">
        <v>578</v>
      </c>
      <c r="E475" s="284">
        <f>SUM('ZSO Kom'!E192)</f>
        <v>516550</v>
      </c>
      <c r="F475" s="284">
        <f>SUM('ZSO Kom'!F192)</f>
        <v>574000</v>
      </c>
      <c r="G475" s="285">
        <f t="shared" si="8"/>
        <v>1.1112186622785791</v>
      </c>
    </row>
    <row r="476" spans="1:10" ht="18.75" customHeight="1">
      <c r="A476" s="657"/>
      <c r="B476" s="657"/>
      <c r="C476" s="289"/>
      <c r="D476" s="283" t="str">
        <f>'ZSO Kom'!D193</f>
        <v xml:space="preserve">nagrody jubileuszowe </v>
      </c>
      <c r="E476" s="284">
        <f>SUM('ZSO Kom'!E193)</f>
        <v>15300</v>
      </c>
      <c r="F476" s="284">
        <f>SUM('ZSO Kom'!F193)</f>
        <v>0</v>
      </c>
      <c r="G476" s="285">
        <f t="shared" si="8"/>
        <v>0</v>
      </c>
    </row>
    <row r="477" spans="1:10" ht="29.25" customHeight="1">
      <c r="A477" s="657"/>
      <c r="B477" s="657"/>
      <c r="C477" s="289"/>
      <c r="D477" s="283" t="s">
        <v>192</v>
      </c>
      <c r="E477" s="284">
        <f>SUM('ZS Mich'!E140)</f>
        <v>474510</v>
      </c>
      <c r="F477" s="284">
        <f>SUM('ZS Mich'!F140)</f>
        <v>566500</v>
      </c>
      <c r="G477" s="285">
        <f t="shared" si="8"/>
        <v>1.193863143031759</v>
      </c>
    </row>
    <row r="478" spans="1:10" ht="19.5" customHeight="1">
      <c r="A478" s="657"/>
      <c r="B478" s="657"/>
      <c r="C478" s="289"/>
      <c r="D478" s="283" t="str">
        <f>'ZS Mich'!D141</f>
        <v>odprawa emerytalna (1)</v>
      </c>
      <c r="E478" s="284">
        <f>'ZS Mich'!E141</f>
        <v>0</v>
      </c>
      <c r="F478" s="284">
        <f>'ZS Mich'!F141</f>
        <v>13500</v>
      </c>
      <c r="G478" s="285" t="e">
        <f t="shared" si="8"/>
        <v>#DIV/0!</v>
      </c>
    </row>
    <row r="479" spans="1:10" ht="30.75" customHeight="1">
      <c r="A479" s="657"/>
      <c r="B479" s="657"/>
      <c r="C479" s="289"/>
      <c r="D479" s="283" t="s">
        <v>193</v>
      </c>
      <c r="E479" s="284">
        <f>SUM('ZSP NW'!E199)</f>
        <v>332330</v>
      </c>
      <c r="F479" s="284">
        <f>SUM('ZSP NW'!F199)</f>
        <v>320000</v>
      </c>
      <c r="G479" s="285">
        <f t="shared" si="8"/>
        <v>0.96289832395510488</v>
      </c>
    </row>
    <row r="480" spans="1:10">
      <c r="A480" s="657"/>
      <c r="B480" s="657"/>
      <c r="C480" s="287">
        <v>4040</v>
      </c>
      <c r="D480" s="279" t="s">
        <v>349</v>
      </c>
      <c r="E480" s="280">
        <f>SUM(E481:E483)</f>
        <v>84800</v>
      </c>
      <c r="F480" s="280">
        <f>SUM(F481:F483)</f>
        <v>102500</v>
      </c>
      <c r="G480" s="281">
        <f t="shared" si="8"/>
        <v>1.2087264150943395</v>
      </c>
    </row>
    <row r="481" spans="1:7" ht="30" customHeight="1">
      <c r="A481" s="657"/>
      <c r="B481" s="657"/>
      <c r="C481" s="289"/>
      <c r="D481" s="283" t="s">
        <v>343</v>
      </c>
      <c r="E481" s="284">
        <f>SUM('ZSO Kom'!E194)</f>
        <v>30400</v>
      </c>
      <c r="F481" s="284">
        <f>SUM('ZSO Kom'!F194)</f>
        <v>36000</v>
      </c>
      <c r="G481" s="285">
        <f t="shared" si="8"/>
        <v>1.1842105263157894</v>
      </c>
    </row>
    <row r="482" spans="1:7" ht="30.75" customHeight="1">
      <c r="A482" s="657"/>
      <c r="B482" s="657"/>
      <c r="C482" s="289"/>
      <c r="D482" s="283" t="s">
        <v>341</v>
      </c>
      <c r="E482" s="284">
        <f>SUM('ZS Mich'!E142)</f>
        <v>31400</v>
      </c>
      <c r="F482" s="284">
        <f>SUM('ZS Mich'!F142)</f>
        <v>39000</v>
      </c>
      <c r="G482" s="285">
        <f t="shared" si="8"/>
        <v>1.2420382165605095</v>
      </c>
    </row>
    <row r="483" spans="1:7" ht="30" customHeight="1">
      <c r="A483" s="657"/>
      <c r="B483" s="657"/>
      <c r="C483" s="289"/>
      <c r="D483" s="283" t="s">
        <v>67</v>
      </c>
      <c r="E483" s="284">
        <f>SUM('ZSP NW'!E200)</f>
        <v>23000</v>
      </c>
      <c r="F483" s="284">
        <f>SUM('ZSP NW'!F200)</f>
        <v>27500</v>
      </c>
      <c r="G483" s="285">
        <f t="shared" si="8"/>
        <v>1.1956521739130435</v>
      </c>
    </row>
    <row r="484" spans="1:7">
      <c r="A484" s="657"/>
      <c r="B484" s="657"/>
      <c r="C484" s="287">
        <v>4110</v>
      </c>
      <c r="D484" s="279" t="s">
        <v>446</v>
      </c>
      <c r="E484" s="280">
        <f>SUM(E485:E487)</f>
        <v>284380</v>
      </c>
      <c r="F484" s="280">
        <f>SUM(F485:F487)</f>
        <v>304000</v>
      </c>
      <c r="G484" s="281">
        <f t="shared" si="8"/>
        <v>1.0689921935438498</v>
      </c>
    </row>
    <row r="485" spans="1:7">
      <c r="A485" s="657"/>
      <c r="B485" s="657"/>
      <c r="C485" s="289"/>
      <c r="D485" s="283" t="s">
        <v>68</v>
      </c>
      <c r="E485" s="284">
        <f>SUM('ZSO Kom'!E195)</f>
        <v>112150</v>
      </c>
      <c r="F485" s="284">
        <f>SUM('ZSO Kom'!F195)</f>
        <v>120000</v>
      </c>
      <c r="G485" s="285">
        <f t="shared" si="8"/>
        <v>1.0699955416852429</v>
      </c>
    </row>
    <row r="486" spans="1:7">
      <c r="A486" s="657"/>
      <c r="B486" s="657"/>
      <c r="C486" s="289"/>
      <c r="D486" s="283" t="s">
        <v>463</v>
      </c>
      <c r="E486" s="284">
        <f>SUM('ZS Mich'!E143)</f>
        <v>101220</v>
      </c>
      <c r="F486" s="284">
        <f>SUM('ZS Mich'!F143)</f>
        <v>118000</v>
      </c>
      <c r="G486" s="285">
        <f t="shared" si="8"/>
        <v>1.1657775143252322</v>
      </c>
    </row>
    <row r="487" spans="1:7">
      <c r="A487" s="657"/>
      <c r="B487" s="657"/>
      <c r="C487" s="289"/>
      <c r="D487" s="283" t="s">
        <v>76</v>
      </c>
      <c r="E487" s="284">
        <f>SUM('ZSP NW'!E201)</f>
        <v>71010</v>
      </c>
      <c r="F487" s="284">
        <f>SUM('ZSP NW'!F201)</f>
        <v>66000</v>
      </c>
      <c r="G487" s="285">
        <f t="shared" si="8"/>
        <v>0.92944655682298272</v>
      </c>
    </row>
    <row r="488" spans="1:7">
      <c r="A488" s="657"/>
      <c r="B488" s="657"/>
      <c r="C488" s="287">
        <v>4120</v>
      </c>
      <c r="D488" s="279" t="s">
        <v>301</v>
      </c>
      <c r="E488" s="280">
        <f>SUM(E489:E491)</f>
        <v>34945</v>
      </c>
      <c r="F488" s="280">
        <f>SUM(F489:F491)</f>
        <v>37000</v>
      </c>
      <c r="G488" s="281">
        <f t="shared" si="8"/>
        <v>1.0588066962369438</v>
      </c>
    </row>
    <row r="489" spans="1:7">
      <c r="A489" s="657"/>
      <c r="B489" s="657"/>
      <c r="C489" s="289"/>
      <c r="D489" s="283" t="s">
        <v>372</v>
      </c>
      <c r="E489" s="284">
        <f>SUM('ZSO Kom'!E196)</f>
        <v>13240</v>
      </c>
      <c r="F489" s="284">
        <f>SUM('ZSO Kom'!F196)</f>
        <v>14000</v>
      </c>
      <c r="G489" s="285">
        <f t="shared" si="8"/>
        <v>1.0574018126888218</v>
      </c>
    </row>
    <row r="490" spans="1:7">
      <c r="A490" s="657"/>
      <c r="B490" s="657"/>
      <c r="C490" s="289"/>
      <c r="D490" s="283" t="s">
        <v>195</v>
      </c>
      <c r="E490" s="284">
        <f>SUM('ZS Mich'!E144)</f>
        <v>12380</v>
      </c>
      <c r="F490" s="284">
        <f>SUM('ZS Mich'!F144)</f>
        <v>14500</v>
      </c>
      <c r="G490" s="285">
        <f t="shared" si="8"/>
        <v>1.1712439418416802</v>
      </c>
    </row>
    <row r="491" spans="1:7">
      <c r="A491" s="657"/>
      <c r="B491" s="657"/>
      <c r="C491" s="289"/>
      <c r="D491" s="283" t="s">
        <v>75</v>
      </c>
      <c r="E491" s="284">
        <f>SUM('ZSP NW'!E202)</f>
        <v>9325</v>
      </c>
      <c r="F491" s="284">
        <f>SUM('ZSP NW'!F202)</f>
        <v>8500</v>
      </c>
      <c r="G491" s="285">
        <f t="shared" si="8"/>
        <v>0.91152815013404831</v>
      </c>
    </row>
    <row r="492" spans="1:7">
      <c r="A492" s="657"/>
      <c r="B492" s="657"/>
      <c r="C492" s="287">
        <v>4210</v>
      </c>
      <c r="D492" s="279" t="s">
        <v>274</v>
      </c>
      <c r="E492" s="280">
        <f>SUM(E493:E495)</f>
        <v>3500</v>
      </c>
      <c r="F492" s="280">
        <f>SUM(F493:F495)</f>
        <v>8000</v>
      </c>
      <c r="G492" s="281">
        <f t="shared" si="8"/>
        <v>2.2857142857142856</v>
      </c>
    </row>
    <row r="493" spans="1:7" ht="18.75" customHeight="1">
      <c r="A493" s="657"/>
      <c r="B493" s="657"/>
      <c r="C493" s="289"/>
      <c r="D493" s="283" t="s">
        <v>1</v>
      </c>
      <c r="E493" s="284">
        <f>SUM('ZSO Kom'!E198)</f>
        <v>1500</v>
      </c>
      <c r="F493" s="284">
        <f>SUM('ZSO Kom'!F198)</f>
        <v>1000</v>
      </c>
      <c r="G493" s="285">
        <f t="shared" si="8"/>
        <v>0.66666666666666663</v>
      </c>
    </row>
    <row r="494" spans="1:7" ht="18.75" customHeight="1">
      <c r="A494" s="657"/>
      <c r="B494" s="657"/>
      <c r="C494" s="289"/>
      <c r="D494" s="283" t="s">
        <v>2</v>
      </c>
      <c r="E494" s="284">
        <f>SUM('ZS Mich'!E146)</f>
        <v>2000</v>
      </c>
      <c r="F494" s="284">
        <f>SUM('ZS Mich'!F146)</f>
        <v>2000</v>
      </c>
      <c r="G494" s="285">
        <f t="shared" si="8"/>
        <v>1</v>
      </c>
    </row>
    <row r="495" spans="1:7" ht="30" hidden="1" customHeight="1">
      <c r="A495" s="657"/>
      <c r="B495" s="657"/>
      <c r="C495" s="289"/>
      <c r="D495" s="283" t="s">
        <v>428</v>
      </c>
      <c r="E495" s="284">
        <f>SUM('ZSP NW'!E204)</f>
        <v>0</v>
      </c>
      <c r="F495" s="284">
        <f>SUM('ZSP NW'!F204)</f>
        <v>5000</v>
      </c>
      <c r="G495" s="285" t="e">
        <f t="shared" si="8"/>
        <v>#DIV/0!</v>
      </c>
    </row>
    <row r="496" spans="1:7">
      <c r="A496" s="657"/>
      <c r="B496" s="657"/>
      <c r="C496" s="287">
        <v>4220</v>
      </c>
      <c r="D496" s="283" t="s">
        <v>492</v>
      </c>
      <c r="E496" s="284">
        <f>E497</f>
        <v>2000</v>
      </c>
      <c r="F496" s="284">
        <f>F497</f>
        <v>2000</v>
      </c>
      <c r="G496" s="285">
        <f t="shared" si="8"/>
        <v>1</v>
      </c>
    </row>
    <row r="497" spans="1:9">
      <c r="A497" s="657"/>
      <c r="B497" s="657"/>
      <c r="C497" s="287"/>
      <c r="D497" s="283" t="s">
        <v>630</v>
      </c>
      <c r="E497" s="284">
        <f>'ZS Mich'!E147</f>
        <v>2000</v>
      </c>
      <c r="F497" s="284">
        <f>'ZS Mich'!F147</f>
        <v>2000</v>
      </c>
      <c r="G497" s="285">
        <f t="shared" si="8"/>
        <v>1</v>
      </c>
    </row>
    <row r="498" spans="1:9">
      <c r="A498" s="657"/>
      <c r="B498" s="657"/>
      <c r="C498" s="287">
        <v>4240</v>
      </c>
      <c r="D498" s="279" t="s">
        <v>179</v>
      </c>
      <c r="E498" s="280">
        <f>SUM(E499:E501)</f>
        <v>7100</v>
      </c>
      <c r="F498" s="280">
        <f>SUM(F499:F501)</f>
        <v>17100</v>
      </c>
      <c r="G498" s="281">
        <f t="shared" si="8"/>
        <v>2.408450704225352</v>
      </c>
    </row>
    <row r="499" spans="1:9" ht="19.5" customHeight="1">
      <c r="A499" s="657"/>
      <c r="B499" s="657"/>
      <c r="C499" s="289"/>
      <c r="D499" s="283" t="s">
        <v>342</v>
      </c>
      <c r="E499" s="284">
        <f>SUM('ZSO Kom'!E199)</f>
        <v>3000</v>
      </c>
      <c r="F499" s="284">
        <f>SUM('ZSO Kom'!F199)</f>
        <v>3000</v>
      </c>
      <c r="G499" s="285">
        <f t="shared" si="8"/>
        <v>1</v>
      </c>
    </row>
    <row r="500" spans="1:9" ht="19.5" customHeight="1">
      <c r="A500" s="657"/>
      <c r="B500" s="657"/>
      <c r="C500" s="289"/>
      <c r="D500" s="283" t="s">
        <v>59</v>
      </c>
      <c r="E500" s="284">
        <f>SUM('ZS Mich'!E148)</f>
        <v>4100</v>
      </c>
      <c r="F500" s="284">
        <f>SUM('ZS Mich'!F148)</f>
        <v>4100</v>
      </c>
      <c r="G500" s="285">
        <f t="shared" si="8"/>
        <v>1</v>
      </c>
    </row>
    <row r="501" spans="1:9" ht="15" hidden="1" customHeight="1">
      <c r="A501" s="657"/>
      <c r="B501" s="657"/>
      <c r="C501" s="289"/>
      <c r="D501" s="283" t="s">
        <v>178</v>
      </c>
      <c r="E501" s="284">
        <f>SUM('ZSP NW'!E205)</f>
        <v>0</v>
      </c>
      <c r="F501" s="284">
        <f>SUM('ZSP NW'!F205)</f>
        <v>10000</v>
      </c>
      <c r="G501" s="285" t="e">
        <f t="shared" si="8"/>
        <v>#DIV/0!</v>
      </c>
    </row>
    <row r="502" spans="1:9">
      <c r="A502" s="657"/>
      <c r="B502" s="657"/>
      <c r="C502" s="287">
        <v>4300</v>
      </c>
      <c r="D502" s="279" t="s">
        <v>100</v>
      </c>
      <c r="E502" s="280">
        <f>SUM(E503:E505)</f>
        <v>100</v>
      </c>
      <c r="F502" s="280">
        <f>SUM(F503:F505)</f>
        <v>100</v>
      </c>
      <c r="G502" s="281">
        <f t="shared" si="8"/>
        <v>1</v>
      </c>
    </row>
    <row r="503" spans="1:9" ht="18" customHeight="1">
      <c r="A503" s="657"/>
      <c r="B503" s="657"/>
      <c r="C503" s="289"/>
      <c r="D503" s="283" t="s">
        <v>353</v>
      </c>
      <c r="E503" s="284">
        <f>'ZSO Kom'!E201</f>
        <v>100</v>
      </c>
      <c r="F503" s="284">
        <f>'ZSO Kom'!F201</f>
        <v>100</v>
      </c>
      <c r="G503" s="285">
        <f t="shared" si="8"/>
        <v>1</v>
      </c>
    </row>
    <row r="504" spans="1:9" ht="16.5" hidden="1" customHeight="1">
      <c r="A504" s="657"/>
      <c r="B504" s="657"/>
      <c r="C504" s="289"/>
      <c r="D504" s="283" t="s">
        <v>212</v>
      </c>
      <c r="E504" s="284">
        <f>'ZS Mich'!E149</f>
        <v>0</v>
      </c>
      <c r="F504" s="284">
        <f>'ZS Mich'!F149</f>
        <v>0</v>
      </c>
      <c r="G504" s="285" t="e">
        <f t="shared" si="8"/>
        <v>#DIV/0!</v>
      </c>
    </row>
    <row r="505" spans="1:9" ht="1.9" hidden="1" customHeight="1">
      <c r="A505" s="657"/>
      <c r="B505" s="657"/>
      <c r="C505" s="289"/>
      <c r="D505" s="283" t="s">
        <v>214</v>
      </c>
      <c r="E505" s="284">
        <f>'ZSP NW'!E206</f>
        <v>0</v>
      </c>
      <c r="F505" s="284">
        <f>'ZSP NW'!F206</f>
        <v>0</v>
      </c>
      <c r="G505" s="285" t="e">
        <f t="shared" si="8"/>
        <v>#DIV/0!</v>
      </c>
    </row>
    <row r="506" spans="1:9">
      <c r="A506" s="657"/>
      <c r="B506" s="657"/>
      <c r="C506" s="287">
        <v>4440</v>
      </c>
      <c r="D506" s="279" t="s">
        <v>317</v>
      </c>
      <c r="E506" s="280">
        <f>SUM(E507:E509)</f>
        <v>85582</v>
      </c>
      <c r="F506" s="280">
        <f>SUM(F507:F509)</f>
        <v>98065</v>
      </c>
      <c r="G506" s="281">
        <f t="shared" si="8"/>
        <v>1.1458601107709565</v>
      </c>
    </row>
    <row r="507" spans="1:9" ht="31.5" customHeight="1">
      <c r="A507" s="657"/>
      <c r="B507" s="657"/>
      <c r="C507" s="289"/>
      <c r="D507" s="283" t="s">
        <v>141</v>
      </c>
      <c r="E507" s="284">
        <f>SUM('ZSO Kom'!E202)</f>
        <v>38044</v>
      </c>
      <c r="F507" s="284">
        <f>SUM('ZSO Kom'!F202)</f>
        <v>38843</v>
      </c>
      <c r="G507" s="285">
        <f t="shared" si="8"/>
        <v>1.0210019976868889</v>
      </c>
    </row>
    <row r="508" spans="1:9" ht="32.25" customHeight="1">
      <c r="A508" s="657"/>
      <c r="B508" s="657"/>
      <c r="C508" s="289"/>
      <c r="D508" s="283" t="s">
        <v>142</v>
      </c>
      <c r="E508" s="284">
        <f>SUM('ZS Mich'!E151)</f>
        <v>26428</v>
      </c>
      <c r="F508" s="284">
        <f>SUM('ZS Mich'!F151)</f>
        <v>36416</v>
      </c>
      <c r="G508" s="285">
        <f t="shared" si="8"/>
        <v>1.3779324958377479</v>
      </c>
    </row>
    <row r="509" spans="1:9" ht="28.5" customHeight="1">
      <c r="A509" s="658"/>
      <c r="B509" s="658"/>
      <c r="C509" s="289"/>
      <c r="D509" s="283" t="s">
        <v>228</v>
      </c>
      <c r="E509" s="284">
        <f>SUM('ZSP NW'!E208)</f>
        <v>21110</v>
      </c>
      <c r="F509" s="284">
        <f>SUM('ZSP NW'!F208)</f>
        <v>22806</v>
      </c>
      <c r="G509" s="285">
        <f t="shared" si="8"/>
        <v>1.0803410705826622</v>
      </c>
    </row>
    <row r="510" spans="1:9" ht="14.25" customHeight="1">
      <c r="A510" s="699" t="s">
        <v>47</v>
      </c>
      <c r="B510" s="697"/>
      <c r="C510" s="697"/>
      <c r="D510" s="661"/>
      <c r="E510" s="291">
        <f>SUM(E470+E474+E480+E484+E488+E492+E496+E498+E502+E506)</f>
        <v>2020557</v>
      </c>
      <c r="F510" s="291">
        <f>SUM(F470+F474+F480+F484+F488+F492+F496+F498+F502+F506)</f>
        <v>2170265</v>
      </c>
      <c r="G510" s="292">
        <f t="shared" si="8"/>
        <v>1.0740924408467567</v>
      </c>
      <c r="I510" s="304"/>
    </row>
    <row r="511" spans="1:9" ht="18" customHeight="1">
      <c r="A511" s="656">
        <v>854</v>
      </c>
      <c r="B511" s="656">
        <v>85412</v>
      </c>
      <c r="C511" s="287">
        <v>4110</v>
      </c>
      <c r="D511" s="279" t="s">
        <v>446</v>
      </c>
      <c r="E511" s="280">
        <f>SUM(E512:E513)</f>
        <v>103</v>
      </c>
      <c r="F511" s="280">
        <f>SUM(F512:F513)</f>
        <v>100</v>
      </c>
      <c r="G511" s="281">
        <f t="shared" si="8"/>
        <v>0.970873786407767</v>
      </c>
    </row>
    <row r="512" spans="1:9" ht="16.899999999999999" hidden="1" customHeight="1">
      <c r="A512" s="657"/>
      <c r="B512" s="657"/>
      <c r="C512" s="337"/>
      <c r="D512" s="338" t="s">
        <v>163</v>
      </c>
      <c r="E512" s="284">
        <f>SUM('ZS Mich'!E154)</f>
        <v>0</v>
      </c>
      <c r="F512" s="284">
        <f>SUM('ZS Mich'!F154)</f>
        <v>0</v>
      </c>
      <c r="G512" s="285" t="e">
        <f t="shared" si="8"/>
        <v>#DIV/0!</v>
      </c>
    </row>
    <row r="513" spans="1:12" ht="17.25" customHeight="1">
      <c r="A513" s="657"/>
      <c r="B513" s="657"/>
      <c r="C513" s="337"/>
      <c r="D513" s="339" t="s">
        <v>164</v>
      </c>
      <c r="E513" s="284">
        <f>'ZSO Kom'!E205</f>
        <v>103</v>
      </c>
      <c r="F513" s="284">
        <f>'ZSO Kom'!F205</f>
        <v>100</v>
      </c>
      <c r="G513" s="285">
        <f t="shared" si="8"/>
        <v>0.970873786407767</v>
      </c>
      <c r="H513" s="692"/>
      <c r="I513" s="693"/>
      <c r="J513" s="693"/>
      <c r="K513" s="693"/>
      <c r="L513" s="693"/>
    </row>
    <row r="514" spans="1:12" ht="17.25" customHeight="1">
      <c r="A514" s="657"/>
      <c r="B514" s="657"/>
      <c r="C514" s="287">
        <v>4120</v>
      </c>
      <c r="D514" s="279" t="s">
        <v>301</v>
      </c>
      <c r="E514" s="284">
        <f>SUM(E515:E516)</f>
        <v>15</v>
      </c>
      <c r="F514" s="284">
        <f>SUM(F515:F516)</f>
        <v>15</v>
      </c>
      <c r="G514" s="285">
        <f t="shared" si="8"/>
        <v>1</v>
      </c>
      <c r="H514" s="456"/>
      <c r="I514" s="457"/>
      <c r="J514" s="457"/>
      <c r="K514" s="457"/>
      <c r="L514" s="457"/>
    </row>
    <row r="515" spans="1:12" ht="17.25" hidden="1" customHeight="1">
      <c r="A515" s="657"/>
      <c r="B515" s="657"/>
      <c r="C515" s="337"/>
      <c r="D515" s="338" t="s">
        <v>163</v>
      </c>
      <c r="E515" s="284"/>
      <c r="F515" s="284"/>
      <c r="G515" s="285" t="e">
        <f t="shared" si="8"/>
        <v>#DIV/0!</v>
      </c>
      <c r="H515" s="456"/>
      <c r="I515" s="457"/>
      <c r="J515" s="457"/>
      <c r="K515" s="457"/>
      <c r="L515" s="457"/>
    </row>
    <row r="516" spans="1:12" ht="17.25" customHeight="1">
      <c r="A516" s="657"/>
      <c r="B516" s="657"/>
      <c r="C516" s="337"/>
      <c r="D516" s="339" t="s">
        <v>164</v>
      </c>
      <c r="E516" s="284">
        <f>'ZSO Kom'!E206</f>
        <v>15</v>
      </c>
      <c r="F516" s="284">
        <f>'ZSO Kom'!F206</f>
        <v>15</v>
      </c>
      <c r="G516" s="285">
        <f t="shared" si="8"/>
        <v>1</v>
      </c>
      <c r="H516" s="456"/>
      <c r="I516" s="457"/>
      <c r="J516" s="457"/>
      <c r="K516" s="457"/>
      <c r="L516" s="457"/>
    </row>
    <row r="517" spans="1:12" ht="17.25" customHeight="1">
      <c r="A517" s="657"/>
      <c r="B517" s="657"/>
      <c r="C517" s="287">
        <v>4170</v>
      </c>
      <c r="D517" s="279" t="s">
        <v>235</v>
      </c>
      <c r="E517" s="280">
        <f>SUM(E518:E519)</f>
        <v>5500</v>
      </c>
      <c r="F517" s="280">
        <f>SUM(F518:F519)</f>
        <v>5000</v>
      </c>
      <c r="G517" s="281">
        <f>SUM(F517/E517)</f>
        <v>0.90909090909090906</v>
      </c>
      <c r="H517" s="456"/>
      <c r="I517" s="457"/>
      <c r="J517" s="457"/>
      <c r="K517" s="457"/>
      <c r="L517" s="457"/>
    </row>
    <row r="518" spans="1:12" ht="17.25" hidden="1" customHeight="1">
      <c r="A518" s="657"/>
      <c r="B518" s="657"/>
      <c r="C518" s="337"/>
      <c r="D518" s="338" t="s">
        <v>163</v>
      </c>
      <c r="E518" s="284">
        <f>SUM('ZS Mich'!E160)</f>
        <v>0</v>
      </c>
      <c r="F518" s="284">
        <f>SUM('ZS Mich'!F160)</f>
        <v>0</v>
      </c>
      <c r="G518" s="285" t="e">
        <f>SUM(F518/E518)</f>
        <v>#DIV/0!</v>
      </c>
      <c r="H518" s="456"/>
      <c r="I518" s="457"/>
      <c r="J518" s="457"/>
      <c r="K518" s="457"/>
      <c r="L518" s="457"/>
    </row>
    <row r="519" spans="1:12" ht="17.25" customHeight="1">
      <c r="A519" s="657"/>
      <c r="B519" s="657"/>
      <c r="C519" s="337"/>
      <c r="D519" s="339" t="s">
        <v>164</v>
      </c>
      <c r="E519" s="284">
        <f>'ZSO Kom'!E208</f>
        <v>5500</v>
      </c>
      <c r="F519" s="284">
        <f>'ZSO Kom'!F208</f>
        <v>5000</v>
      </c>
      <c r="G519" s="285">
        <f>SUM(F519/E519)</f>
        <v>0.90909090909090906</v>
      </c>
      <c r="H519" s="456"/>
      <c r="I519" s="457"/>
      <c r="J519" s="457"/>
      <c r="K519" s="457"/>
      <c r="L519" s="457"/>
    </row>
    <row r="520" spans="1:12" ht="14.45" customHeight="1">
      <c r="A520" s="657"/>
      <c r="B520" s="657"/>
      <c r="C520" s="287">
        <v>4210</v>
      </c>
      <c r="D520" s="288" t="s">
        <v>274</v>
      </c>
      <c r="E520" s="280">
        <f>SUM(E521:E523)</f>
        <v>1000</v>
      </c>
      <c r="F520" s="280">
        <f>SUM(F521:F523)</f>
        <v>1000</v>
      </c>
      <c r="G520" s="281">
        <f t="shared" ref="G520:G552" si="9">SUM(F520/E520)</f>
        <v>1</v>
      </c>
    </row>
    <row r="521" spans="1:12" ht="14.25" customHeight="1">
      <c r="A521" s="657"/>
      <c r="B521" s="657"/>
      <c r="C521" s="316"/>
      <c r="D521" s="324" t="s">
        <v>165</v>
      </c>
      <c r="E521" s="284">
        <f>'ZSO Kom'!E211</f>
        <v>1000</v>
      </c>
      <c r="F521" s="284">
        <f>'ZSO Kom'!F211</f>
        <v>1000</v>
      </c>
      <c r="G521" s="285">
        <f t="shared" si="9"/>
        <v>1</v>
      </c>
    </row>
    <row r="522" spans="1:12" ht="15.75" hidden="1" customHeight="1">
      <c r="A522" s="657"/>
      <c r="B522" s="657"/>
      <c r="C522" s="316"/>
      <c r="D522" s="324" t="s">
        <v>166</v>
      </c>
      <c r="E522" s="284">
        <f>SUM('ZS Mich'!E155)</f>
        <v>0</v>
      </c>
      <c r="F522" s="284">
        <f>SUM('ZS Mich'!F155)</f>
        <v>0</v>
      </c>
      <c r="G522" s="285" t="e">
        <f t="shared" si="9"/>
        <v>#DIV/0!</v>
      </c>
    </row>
    <row r="523" spans="1:12" ht="15" hidden="1" customHeight="1">
      <c r="A523" s="657"/>
      <c r="B523" s="657"/>
      <c r="C523" s="316"/>
      <c r="D523" s="324" t="s">
        <v>167</v>
      </c>
      <c r="E523" s="284">
        <f>'ZSP NW'!E211</f>
        <v>0</v>
      </c>
      <c r="F523" s="284">
        <f>'ZSP NW'!F211</f>
        <v>0</v>
      </c>
      <c r="G523" s="285" t="e">
        <f t="shared" si="9"/>
        <v>#DIV/0!</v>
      </c>
    </row>
    <row r="524" spans="1:12" ht="16.5" customHeight="1">
      <c r="A524" s="657"/>
      <c r="B524" s="657"/>
      <c r="C524" s="287">
        <v>4300</v>
      </c>
      <c r="D524" s="288" t="s">
        <v>100</v>
      </c>
      <c r="E524" s="280">
        <f>SUM(E525:E527)</f>
        <v>22882</v>
      </c>
      <c r="F524" s="280">
        <f>SUM(F525:F527)</f>
        <v>20000</v>
      </c>
      <c r="G524" s="281">
        <f t="shared" si="9"/>
        <v>0.87404947120006993</v>
      </c>
    </row>
    <row r="525" spans="1:12" ht="16.5" customHeight="1">
      <c r="A525" s="657"/>
      <c r="B525" s="657"/>
      <c r="C525" s="316"/>
      <c r="D525" s="324" t="s">
        <v>162</v>
      </c>
      <c r="E525" s="284">
        <f>'ZSO Kom'!E213</f>
        <v>22882</v>
      </c>
      <c r="F525" s="284">
        <f>'ZSO Kom'!F213</f>
        <v>20000</v>
      </c>
      <c r="G525" s="285">
        <f t="shared" si="9"/>
        <v>0.87404947120006993</v>
      </c>
    </row>
    <row r="526" spans="1:12" ht="15.75" hidden="1" customHeight="1">
      <c r="A526" s="657"/>
      <c r="B526" s="657"/>
      <c r="C526" s="316"/>
      <c r="D526" s="324" t="s">
        <v>160</v>
      </c>
      <c r="E526" s="284">
        <f>SUM('ZS Mich'!E158)</f>
        <v>0</v>
      </c>
      <c r="F526" s="284">
        <f>SUM('ZS Mich'!F158)</f>
        <v>0</v>
      </c>
      <c r="G526" s="285" t="e">
        <f t="shared" si="9"/>
        <v>#DIV/0!</v>
      </c>
    </row>
    <row r="527" spans="1:12" ht="18" hidden="1" customHeight="1">
      <c r="A527" s="657"/>
      <c r="B527" s="657"/>
      <c r="C527" s="316"/>
      <c r="D527" s="324" t="s">
        <v>161</v>
      </c>
      <c r="E527" s="284">
        <f>SUM('ZSP NW'!E213)</f>
        <v>0</v>
      </c>
      <c r="F527" s="284">
        <f>SUM('ZSP NW'!F213)</f>
        <v>0</v>
      </c>
      <c r="G527" s="285" t="e">
        <f t="shared" si="9"/>
        <v>#DIV/0!</v>
      </c>
    </row>
    <row r="528" spans="1:12" ht="18" hidden="1" customHeight="1">
      <c r="A528" s="657"/>
      <c r="B528" s="657"/>
      <c r="C528" s="287">
        <v>4420</v>
      </c>
      <c r="D528" s="288" t="s">
        <v>360</v>
      </c>
      <c r="E528" s="280">
        <f>SUM(E529:E531)</f>
        <v>0</v>
      </c>
      <c r="F528" s="280">
        <f>SUM(F529:F531)</f>
        <v>0</v>
      </c>
      <c r="G528" s="281" t="e">
        <f t="shared" si="9"/>
        <v>#DIV/0!</v>
      </c>
    </row>
    <row r="529" spans="1:9" ht="15.75" hidden="1" customHeight="1">
      <c r="A529" s="657"/>
      <c r="B529" s="657"/>
      <c r="C529" s="316"/>
      <c r="D529" s="339" t="s">
        <v>168</v>
      </c>
      <c r="E529" s="284">
        <f>SUM('ZSO Kom'!E214)</f>
        <v>0</v>
      </c>
      <c r="F529" s="284">
        <f>SUM('ZSO Kom'!F214)</f>
        <v>0</v>
      </c>
      <c r="G529" s="285" t="e">
        <f t="shared" si="9"/>
        <v>#DIV/0!</v>
      </c>
    </row>
    <row r="530" spans="1:9" ht="20.25" hidden="1" customHeight="1">
      <c r="A530" s="657"/>
      <c r="B530" s="657"/>
      <c r="C530" s="316"/>
      <c r="D530" s="339" t="s">
        <v>169</v>
      </c>
      <c r="E530" s="284">
        <f>SUM('ZS Mich'!E160)</f>
        <v>0</v>
      </c>
      <c r="F530" s="284">
        <f>SUM('ZS Mich'!F160)</f>
        <v>0</v>
      </c>
      <c r="G530" s="285" t="e">
        <f t="shared" si="9"/>
        <v>#DIV/0!</v>
      </c>
    </row>
    <row r="531" spans="1:9" ht="21" hidden="1" customHeight="1">
      <c r="A531" s="658"/>
      <c r="B531" s="658"/>
      <c r="C531" s="316"/>
      <c r="D531" s="339" t="s">
        <v>170</v>
      </c>
      <c r="E531" s="284">
        <f>'ZSP NW'!E214</f>
        <v>0</v>
      </c>
      <c r="F531" s="284">
        <f>'ZSP NW'!F214</f>
        <v>0</v>
      </c>
      <c r="G531" s="285" t="e">
        <f t="shared" si="9"/>
        <v>#DIV/0!</v>
      </c>
    </row>
    <row r="532" spans="1:9" ht="29.25" customHeight="1">
      <c r="A532" s="700" t="s">
        <v>481</v>
      </c>
      <c r="B532" s="701"/>
      <c r="C532" s="701"/>
      <c r="D532" s="702"/>
      <c r="E532" s="291">
        <f>SUM(E511+E514+E517+E520+E524+E528)</f>
        <v>29500</v>
      </c>
      <c r="F532" s="291">
        <f>SUM(F511+F514+F517+F520+F524+F528)</f>
        <v>26115</v>
      </c>
      <c r="G532" s="292">
        <f t="shared" si="9"/>
        <v>0.88525423728813557</v>
      </c>
      <c r="I532" s="304"/>
    </row>
    <row r="533" spans="1:9" ht="20.25" customHeight="1">
      <c r="A533" s="703">
        <v>854</v>
      </c>
      <c r="B533" s="705">
        <v>85415</v>
      </c>
      <c r="C533" s="670">
        <v>3240</v>
      </c>
      <c r="D533" s="340" t="s">
        <v>442</v>
      </c>
      <c r="E533" s="284">
        <f>E534+E535+E536+E537</f>
        <v>65138</v>
      </c>
      <c r="F533" s="284">
        <f>F534+F535+F536+F537</f>
        <v>68200</v>
      </c>
      <c r="G533" s="285">
        <f t="shared" si="9"/>
        <v>1.0470078909392366</v>
      </c>
      <c r="I533" s="304"/>
    </row>
    <row r="534" spans="1:9" ht="18" customHeight="1">
      <c r="A534" s="703"/>
      <c r="B534" s="705"/>
      <c r="C534" s="677"/>
      <c r="D534" s="306" t="s">
        <v>119</v>
      </c>
      <c r="E534" s="284">
        <f>CUW!E158</f>
        <v>35000</v>
      </c>
      <c r="F534" s="284">
        <f>CUW!F158</f>
        <v>35200</v>
      </c>
      <c r="G534" s="285">
        <f t="shared" si="9"/>
        <v>1.0057142857142858</v>
      </c>
      <c r="I534" s="304"/>
    </row>
    <row r="535" spans="1:9" ht="0.75" customHeight="1">
      <c r="A535" s="703"/>
      <c r="B535" s="705"/>
      <c r="C535" s="677"/>
      <c r="D535" s="306" t="s">
        <v>120</v>
      </c>
      <c r="E535" s="284">
        <f>CUW!E159</f>
        <v>14000</v>
      </c>
      <c r="F535" s="284">
        <f>CUW!F159</f>
        <v>8800</v>
      </c>
      <c r="G535" s="285">
        <f t="shared" si="9"/>
        <v>0.62857142857142856</v>
      </c>
      <c r="I535" s="304"/>
    </row>
    <row r="536" spans="1:9" ht="18.75" customHeight="1">
      <c r="A536" s="703"/>
      <c r="B536" s="705"/>
      <c r="C536" s="677"/>
      <c r="D536" s="306" t="s">
        <v>538</v>
      </c>
      <c r="E536" s="284">
        <f>CUW!E160</f>
        <v>15000</v>
      </c>
      <c r="F536" s="284">
        <f>CUW!F160</f>
        <v>24200</v>
      </c>
      <c r="G536" s="285">
        <f t="shared" si="9"/>
        <v>1.6133333333333333</v>
      </c>
      <c r="I536" s="304"/>
    </row>
    <row r="537" spans="1:9" ht="16.5" customHeight="1">
      <c r="A537" s="703"/>
      <c r="B537" s="705"/>
      <c r="C537" s="678"/>
      <c r="D537" s="306" t="s">
        <v>533</v>
      </c>
      <c r="E537" s="284">
        <f>CUW!E161</f>
        <v>1138</v>
      </c>
      <c r="F537" s="284">
        <f>CUW!F161</f>
        <v>0</v>
      </c>
      <c r="G537" s="285">
        <f t="shared" si="9"/>
        <v>0</v>
      </c>
      <c r="I537" s="304"/>
    </row>
    <row r="538" spans="1:9">
      <c r="A538" s="703"/>
      <c r="B538" s="705"/>
      <c r="C538" s="705">
        <v>3260</v>
      </c>
      <c r="D538" s="340" t="s">
        <v>432</v>
      </c>
      <c r="E538" s="280">
        <f>E539+E540+E541</f>
        <v>4000</v>
      </c>
      <c r="F538" s="280">
        <f>F539+F540+F541</f>
        <v>4000</v>
      </c>
      <c r="G538" s="285">
        <f t="shared" si="9"/>
        <v>1</v>
      </c>
    </row>
    <row r="539" spans="1:9">
      <c r="A539" s="703"/>
      <c r="B539" s="705"/>
      <c r="C539" s="705"/>
      <c r="D539" s="306" t="s">
        <v>121</v>
      </c>
      <c r="E539" s="284">
        <f>CUW!E163</f>
        <v>2500</v>
      </c>
      <c r="F539" s="284">
        <f>CUW!F163</f>
        <v>2500</v>
      </c>
      <c r="G539" s="285">
        <f t="shared" si="9"/>
        <v>1</v>
      </c>
    </row>
    <row r="540" spans="1:9">
      <c r="A540" s="703"/>
      <c r="B540" s="705"/>
      <c r="C540" s="705"/>
      <c r="D540" s="331" t="s">
        <v>539</v>
      </c>
      <c r="E540" s="284">
        <f>CUW!E164</f>
        <v>1500</v>
      </c>
      <c r="F540" s="284">
        <f>CUW!F164</f>
        <v>1500</v>
      </c>
      <c r="G540" s="285">
        <f t="shared" si="9"/>
        <v>1</v>
      </c>
    </row>
    <row r="541" spans="1:9" ht="17.25" hidden="1" customHeight="1">
      <c r="A541" s="704"/>
      <c r="B541" s="705"/>
      <c r="C541" s="705"/>
      <c r="D541" s="290" t="s">
        <v>253</v>
      </c>
      <c r="E541" s="284">
        <f>'ZS Mich'!E163+'ZSP NW'!E218+'ZSO Kom'!E218</f>
        <v>0</v>
      </c>
      <c r="F541" s="284">
        <f>'ZS Mich'!F163+'ZSP NW'!F218+'ZSO Kom'!F218</f>
        <v>0</v>
      </c>
      <c r="G541" s="285" t="e">
        <f t="shared" si="9"/>
        <v>#DIV/0!</v>
      </c>
    </row>
    <row r="542" spans="1:9">
      <c r="A542" s="659" t="s">
        <v>474</v>
      </c>
      <c r="B542" s="660"/>
      <c r="C542" s="660"/>
      <c r="D542" s="661"/>
      <c r="E542" s="291">
        <f>SUM(E533+E538)</f>
        <v>69138</v>
      </c>
      <c r="F542" s="291">
        <f>SUM(F533+F538)</f>
        <v>72200</v>
      </c>
      <c r="G542" s="292">
        <f t="shared" si="9"/>
        <v>1.0442882351239551</v>
      </c>
      <c r="I542" s="315"/>
    </row>
    <row r="543" spans="1:9">
      <c r="A543" s="705">
        <v>854</v>
      </c>
      <c r="B543" s="705">
        <v>85416</v>
      </c>
      <c r="C543" s="672">
        <v>3040</v>
      </c>
      <c r="D543" s="323" t="s">
        <v>476</v>
      </c>
      <c r="E543" s="280">
        <f>SUM(E544:E545)</f>
        <v>13600</v>
      </c>
      <c r="F543" s="280">
        <f>SUM(F544:F545)</f>
        <v>27700</v>
      </c>
      <c r="G543" s="281">
        <f>SUM(F543/E543)</f>
        <v>2.0367647058823528</v>
      </c>
      <c r="I543" s="315"/>
    </row>
    <row r="544" spans="1:9">
      <c r="A544" s="705"/>
      <c r="B544" s="705"/>
      <c r="C544" s="672"/>
      <c r="D544" s="339" t="s">
        <v>479</v>
      </c>
      <c r="E544" s="284">
        <f>'ZS Mich'!E166+'ZSP NW'!E221+'ZSO Kom'!E221</f>
        <v>0</v>
      </c>
      <c r="F544" s="284">
        <f>'ZS Mich'!F166+'ZSP NW'!F221+'ZSO Kom'!F221</f>
        <v>14600</v>
      </c>
      <c r="G544" s="285" t="e">
        <f>SUM(F544/E544)</f>
        <v>#DIV/0!</v>
      </c>
      <c r="I544" s="315"/>
    </row>
    <row r="545" spans="1:9">
      <c r="A545" s="705"/>
      <c r="B545" s="705"/>
      <c r="C545" s="672"/>
      <c r="D545" s="339" t="s">
        <v>480</v>
      </c>
      <c r="E545" s="284">
        <f>'ZS Mich'!E167+'ZSP NW'!E222+'ZSO Kom'!E222</f>
        <v>13600</v>
      </c>
      <c r="F545" s="284">
        <f>'ZS Mich'!F167+'ZSP NW'!F222+'ZSO Kom'!F222</f>
        <v>13100</v>
      </c>
      <c r="G545" s="285">
        <f>SUM(F545/E545)</f>
        <v>0.96323529411764708</v>
      </c>
      <c r="I545" s="315"/>
    </row>
    <row r="546" spans="1:9">
      <c r="A546" s="705"/>
      <c r="B546" s="705"/>
      <c r="C546" s="656">
        <v>3240</v>
      </c>
      <c r="D546" s="293" t="s">
        <v>442</v>
      </c>
      <c r="E546" s="280">
        <f>SUM(E547:E549)</f>
        <v>81600</v>
      </c>
      <c r="F546" s="280">
        <f>SUM(F547:F549)</f>
        <v>71400</v>
      </c>
      <c r="G546" s="281">
        <f t="shared" si="9"/>
        <v>0.875</v>
      </c>
      <c r="I546" s="315"/>
    </row>
    <row r="547" spans="1:9">
      <c r="A547" s="705"/>
      <c r="B547" s="705"/>
      <c r="C547" s="657"/>
      <c r="D547" s="296" t="s">
        <v>471</v>
      </c>
      <c r="E547" s="284">
        <f>'ZS Mich'!E169+'ZSP NW'!E224+'ZSO Kom'!E224</f>
        <v>54700</v>
      </c>
      <c r="F547" s="284">
        <f>'ZS Mich'!F169+'ZSP NW'!F224+'ZSO Kom'!F224</f>
        <v>52000</v>
      </c>
      <c r="G547" s="285">
        <f>SUM(F547/E547)</f>
        <v>0.95063985374771476</v>
      </c>
      <c r="I547" s="315"/>
    </row>
    <row r="548" spans="1:9">
      <c r="A548" s="705"/>
      <c r="B548" s="705"/>
      <c r="C548" s="657"/>
      <c r="D548" s="296" t="s">
        <v>472</v>
      </c>
      <c r="E548" s="284">
        <f>'ZS Mich'!E170+'ZSP NW'!E225+'ZSO Kom'!E225</f>
        <v>23900</v>
      </c>
      <c r="F548" s="284">
        <f>'ZS Mich'!F170+'ZSP NW'!F225+'ZSO Kom'!F225</f>
        <v>16200</v>
      </c>
      <c r="G548" s="285">
        <f>SUM(F548/E548)</f>
        <v>0.67782426778242677</v>
      </c>
      <c r="I548" s="315"/>
    </row>
    <row r="549" spans="1:9">
      <c r="A549" s="705"/>
      <c r="B549" s="705"/>
      <c r="C549" s="657"/>
      <c r="D549" s="296" t="s">
        <v>366</v>
      </c>
      <c r="E549" s="284">
        <f>'ZSO Kom'!E226</f>
        <v>3000</v>
      </c>
      <c r="F549" s="284">
        <f>'ZSO Kom'!F226</f>
        <v>3200</v>
      </c>
      <c r="G549" s="285">
        <f>SUM(F549/E549)</f>
        <v>1.0666666666666667</v>
      </c>
      <c r="I549" s="315"/>
    </row>
    <row r="550" spans="1:9">
      <c r="A550" s="659" t="s">
        <v>475</v>
      </c>
      <c r="B550" s="660"/>
      <c r="C550" s="660"/>
      <c r="D550" s="661"/>
      <c r="E550" s="291">
        <f>E543+E546</f>
        <v>95200</v>
      </c>
      <c r="F550" s="291">
        <f>F543+F546</f>
        <v>99100</v>
      </c>
      <c r="G550" s="285">
        <f>SUM(F550/E550)</f>
        <v>1.0409663865546219</v>
      </c>
      <c r="I550" s="315"/>
    </row>
    <row r="551" spans="1:9">
      <c r="A551" s="695" t="s">
        <v>436</v>
      </c>
      <c r="B551" s="696"/>
      <c r="C551" s="696"/>
      <c r="D551" s="696"/>
      <c r="E551" s="291">
        <f>SUM(E510+E532+E542+E550)</f>
        <v>2214395</v>
      </c>
      <c r="F551" s="291">
        <f>SUM(F510+F532+F542+F550)</f>
        <v>2367680</v>
      </c>
      <c r="G551" s="292">
        <f t="shared" si="9"/>
        <v>1.0692220674269948</v>
      </c>
      <c r="H551" s="315"/>
      <c r="I551" s="298"/>
    </row>
    <row r="552" spans="1:9">
      <c r="A552" s="706" t="s">
        <v>721</v>
      </c>
      <c r="B552" s="707"/>
      <c r="C552" s="707"/>
      <c r="D552" s="707"/>
      <c r="E552" s="291">
        <f>SUM(E36+E465+E469+E551)</f>
        <v>32469942</v>
      </c>
      <c r="F552" s="291">
        <f>SUM(F36+F465+F469+F551)</f>
        <v>34987027</v>
      </c>
      <c r="G552" s="292">
        <f t="shared" si="9"/>
        <v>1.0775204649272241</v>
      </c>
      <c r="H552" s="315"/>
      <c r="I552" s="274"/>
    </row>
    <row r="553" spans="1:9">
      <c r="A553" s="708"/>
      <c r="B553" s="708"/>
      <c r="C553" s="708"/>
      <c r="D553" s="341"/>
      <c r="E553" s="342"/>
      <c r="F553" s="342"/>
      <c r="G553" s="343"/>
      <c r="I553" s="274"/>
    </row>
    <row r="554" spans="1:9">
      <c r="A554" s="344"/>
      <c r="B554" s="344"/>
      <c r="C554" s="344"/>
      <c r="D554" s="135"/>
      <c r="E554" s="345"/>
      <c r="F554" s="345">
        <f>F552-E552</f>
        <v>2517085</v>
      </c>
      <c r="G554" s="346"/>
      <c r="I554" s="274"/>
    </row>
    <row r="555" spans="1:9">
      <c r="A555" s="344"/>
      <c r="B555" s="344"/>
      <c r="C555" s="344"/>
      <c r="D555" s="135"/>
      <c r="E555" s="345"/>
      <c r="F555" s="342"/>
      <c r="G555" s="346"/>
    </row>
    <row r="556" spans="1:9" ht="39.75" hidden="1" customHeight="1">
      <c r="A556" s="709" t="s">
        <v>6</v>
      </c>
      <c r="B556" s="709"/>
      <c r="C556" s="709"/>
      <c r="D556" s="709"/>
      <c r="E556" s="709"/>
      <c r="F556" s="709"/>
      <c r="G556" s="709"/>
      <c r="H556" s="347"/>
      <c r="I556" s="348"/>
    </row>
    <row r="557" spans="1:9" ht="18" hidden="1" customHeight="1">
      <c r="A557" s="709" t="s">
        <v>389</v>
      </c>
      <c r="B557" s="709"/>
      <c r="C557" s="709"/>
      <c r="D557" s="709"/>
      <c r="E557" s="710"/>
      <c r="F557" s="710"/>
      <c r="G557" s="349"/>
      <c r="H557" s="347"/>
      <c r="I557" s="348"/>
    </row>
    <row r="558" spans="1:9" ht="18" hidden="1" customHeight="1">
      <c r="A558" s="711" t="s">
        <v>388</v>
      </c>
      <c r="B558" s="712"/>
      <c r="C558" s="712"/>
      <c r="D558" s="712"/>
      <c r="E558" s="712"/>
      <c r="F558" s="350"/>
      <c r="G558" s="349"/>
      <c r="H558" s="347"/>
      <c r="I558" s="348"/>
    </row>
    <row r="559" spans="1:9" hidden="1">
      <c r="A559" s="713" t="s">
        <v>459</v>
      </c>
      <c r="B559" s="713"/>
      <c r="C559" s="713"/>
      <c r="D559" s="713"/>
      <c r="E559" s="710"/>
      <c r="H559" s="352"/>
      <c r="I559" s="353"/>
    </row>
    <row r="560" spans="1:9" hidden="1">
      <c r="A560" s="713" t="s">
        <v>449</v>
      </c>
      <c r="B560" s="713"/>
      <c r="C560" s="713"/>
      <c r="D560" s="713"/>
      <c r="E560" s="310"/>
      <c r="F560" s="354"/>
      <c r="G560" s="310"/>
      <c r="H560" s="352"/>
      <c r="I560" s="353"/>
    </row>
    <row r="561" spans="1:9" hidden="1">
      <c r="A561" s="714" t="s">
        <v>390</v>
      </c>
      <c r="B561" s="714"/>
      <c r="C561" s="714"/>
      <c r="D561" s="714"/>
      <c r="E561" s="714"/>
      <c r="F561" s="354"/>
      <c r="G561" s="310"/>
      <c r="H561" s="352"/>
      <c r="I561" s="353"/>
    </row>
    <row r="562" spans="1:9" hidden="1">
      <c r="A562" s="310"/>
      <c r="B562" s="310"/>
      <c r="C562" s="310"/>
      <c r="D562" s="355" t="s">
        <v>186</v>
      </c>
      <c r="E562" s="310"/>
      <c r="F562" s="354">
        <f>F555-F553</f>
        <v>0</v>
      </c>
      <c r="G562" s="310"/>
      <c r="H562" s="352" t="e">
        <f>'ZS Mich'!F173+'ZSP NW'!F228+'Pd Mich'!G68+'ZSO Kom'!F229+#REF!+CUW!F183</f>
        <v>#REF!</v>
      </c>
      <c r="I562" s="353"/>
    </row>
    <row r="563" spans="1:9" ht="13.5" hidden="1" customHeight="1">
      <c r="A563" s="715" t="s">
        <v>667</v>
      </c>
      <c r="B563" s="715"/>
      <c r="C563" s="715"/>
      <c r="D563" s="715"/>
      <c r="E563" s="715"/>
      <c r="F563" s="715"/>
      <c r="G563" s="715"/>
      <c r="H563" s="352"/>
      <c r="I563" s="353"/>
    </row>
    <row r="564" spans="1:9" hidden="1">
      <c r="A564" s="310"/>
      <c r="B564" s="310"/>
      <c r="C564" s="310"/>
      <c r="D564" s="310"/>
      <c r="E564" s="310"/>
      <c r="F564" s="354"/>
      <c r="G564" s="310">
        <f>397+12</f>
        <v>409</v>
      </c>
      <c r="H564" s="352"/>
      <c r="I564" s="353"/>
    </row>
    <row r="565" spans="1:9" hidden="1">
      <c r="A565" s="716" t="s">
        <v>93</v>
      </c>
      <c r="B565" s="710"/>
      <c r="C565" s="710"/>
      <c r="D565" s="356">
        <f>D571+D577+D588+160000</f>
        <v>363500</v>
      </c>
      <c r="E565" s="357"/>
      <c r="F565" s="356"/>
      <c r="G565" s="357"/>
      <c r="H565" s="352"/>
      <c r="I565" s="353"/>
    </row>
    <row r="566" spans="1:9" hidden="1">
      <c r="A566" s="714" t="s">
        <v>94</v>
      </c>
      <c r="B566" s="712"/>
      <c r="C566" s="712"/>
      <c r="D566" s="712"/>
      <c r="E566" s="712"/>
      <c r="F566" s="712"/>
      <c r="G566" s="712"/>
      <c r="H566" s="352"/>
      <c r="I566" s="353"/>
    </row>
    <row r="567" spans="1:9" hidden="1">
      <c r="A567" s="310"/>
      <c r="B567" s="310"/>
      <c r="C567" s="310">
        <v>3020</v>
      </c>
      <c r="D567" s="354">
        <f>6600*2</f>
        <v>13200</v>
      </c>
      <c r="E567" s="310"/>
      <c r="F567" s="354"/>
      <c r="G567" s="310"/>
      <c r="H567" s="352"/>
      <c r="I567" s="358"/>
    </row>
    <row r="568" spans="1:9" hidden="1">
      <c r="A568" s="310"/>
      <c r="B568" s="310"/>
      <c r="C568" s="310">
        <v>4010</v>
      </c>
      <c r="D568" s="354">
        <f>32000*2</f>
        <v>64000</v>
      </c>
      <c r="E568" s="310"/>
      <c r="F568" s="354"/>
      <c r="G568" s="310"/>
      <c r="H568" s="352"/>
      <c r="I568" s="353"/>
    </row>
    <row r="569" spans="1:9" hidden="1">
      <c r="A569" s="310"/>
      <c r="B569" s="310"/>
      <c r="C569" s="310">
        <v>4110</v>
      </c>
      <c r="D569" s="354">
        <f>7100*2</f>
        <v>14200</v>
      </c>
      <c r="E569" s="310"/>
      <c r="F569" s="354"/>
      <c r="G569" s="310"/>
      <c r="H569" s="352"/>
      <c r="I569" s="353"/>
    </row>
    <row r="570" spans="1:9" hidden="1">
      <c r="A570" s="310"/>
      <c r="B570" s="310"/>
      <c r="C570" s="310">
        <v>4120</v>
      </c>
      <c r="D570" s="354">
        <f>1000*2</f>
        <v>2000</v>
      </c>
      <c r="E570" s="310"/>
      <c r="F570" s="354"/>
      <c r="G570" s="310"/>
      <c r="H570" s="352"/>
      <c r="I570" s="353"/>
    </row>
    <row r="571" spans="1:9" hidden="1">
      <c r="A571" s="310"/>
      <c r="B571" s="310"/>
      <c r="C571" s="310"/>
      <c r="D571" s="358">
        <f>SUM(D567:D570)</f>
        <v>93400</v>
      </c>
      <c r="E571" s="310"/>
      <c r="F571" s="354"/>
      <c r="G571" s="310"/>
      <c r="H571" s="352"/>
      <c r="I571" s="353"/>
    </row>
    <row r="572" spans="1:9" hidden="1">
      <c r="A572" s="714" t="s">
        <v>73</v>
      </c>
      <c r="B572" s="712"/>
      <c r="C572" s="712"/>
      <c r="D572" s="712"/>
      <c r="E572" s="712"/>
      <c r="F572" s="712"/>
      <c r="G572" s="712"/>
      <c r="H572" s="352"/>
      <c r="I572" s="353"/>
    </row>
    <row r="573" spans="1:9" hidden="1">
      <c r="A573" s="310"/>
      <c r="B573" s="310"/>
      <c r="C573" s="310">
        <v>3020</v>
      </c>
      <c r="D573" s="354">
        <f>6600</f>
        <v>6600</v>
      </c>
      <c r="E573" s="310"/>
      <c r="F573" s="354"/>
      <c r="G573" s="310"/>
      <c r="H573" s="352"/>
      <c r="I573" s="353"/>
    </row>
    <row r="574" spans="1:9" hidden="1">
      <c r="A574" s="310"/>
      <c r="B574" s="310"/>
      <c r="C574" s="310">
        <v>4010</v>
      </c>
      <c r="D574" s="354">
        <f>32000</f>
        <v>32000</v>
      </c>
      <c r="E574" s="310"/>
      <c r="F574" s="354"/>
      <c r="G574" s="310"/>
      <c r="H574" s="352"/>
      <c r="I574" s="353"/>
    </row>
    <row r="575" spans="1:9" hidden="1">
      <c r="A575" s="310"/>
      <c r="B575" s="310"/>
      <c r="C575" s="310">
        <v>4110</v>
      </c>
      <c r="D575" s="354">
        <f>7100</f>
        <v>7100</v>
      </c>
      <c r="E575" s="310"/>
      <c r="F575" s="354"/>
      <c r="G575" s="310"/>
      <c r="H575" s="352"/>
      <c r="I575" s="353"/>
    </row>
    <row r="576" spans="1:9" hidden="1">
      <c r="A576" s="310"/>
      <c r="B576" s="310"/>
      <c r="C576" s="310">
        <v>4120</v>
      </c>
      <c r="D576" s="354">
        <f>1000</f>
        <v>1000</v>
      </c>
      <c r="E576" s="310"/>
      <c r="F576" s="354"/>
      <c r="G576" s="310"/>
      <c r="H576" s="352"/>
      <c r="I576" s="353"/>
    </row>
    <row r="577" spans="1:10" hidden="1">
      <c r="A577" s="310"/>
      <c r="B577" s="310"/>
      <c r="C577" s="310"/>
      <c r="D577" s="358">
        <f>SUM(D573:D576)</f>
        <v>46700</v>
      </c>
      <c r="E577" s="310"/>
      <c r="F577" s="354"/>
      <c r="G577" s="310"/>
      <c r="H577" s="352"/>
      <c r="I577" s="353"/>
    </row>
    <row r="578" spans="1:10" hidden="1">
      <c r="A578" s="714" t="s">
        <v>240</v>
      </c>
      <c r="B578" s="712"/>
      <c r="C578" s="712"/>
      <c r="D578" s="712"/>
      <c r="E578" s="310"/>
      <c r="F578" s="354"/>
      <c r="G578" s="310"/>
      <c r="H578" s="352"/>
      <c r="I578" s="353"/>
    </row>
    <row r="579" spans="1:10" ht="15" hidden="1" customHeight="1">
      <c r="A579" s="716" t="s">
        <v>369</v>
      </c>
      <c r="B579" s="716"/>
      <c r="C579" s="716"/>
      <c r="D579" s="716"/>
      <c r="E579" s="310"/>
      <c r="F579" s="354"/>
      <c r="G579" s="310"/>
      <c r="H579" s="352"/>
      <c r="I579" s="353"/>
    </row>
    <row r="580" spans="1:10" ht="15" hidden="1" customHeight="1">
      <c r="A580" s="713" t="s">
        <v>72</v>
      </c>
      <c r="B580" s="713"/>
      <c r="C580" s="713"/>
      <c r="D580" s="713"/>
      <c r="E580" s="310"/>
      <c r="F580" s="354"/>
      <c r="G580" s="310"/>
      <c r="H580" s="352"/>
      <c r="I580" s="353"/>
    </row>
    <row r="581" spans="1:10" hidden="1">
      <c r="A581" s="713" t="s">
        <v>70</v>
      </c>
      <c r="B581" s="713"/>
      <c r="C581" s="713"/>
      <c r="D581" s="713"/>
      <c r="E581" s="310"/>
      <c r="F581" s="354"/>
      <c r="G581" s="310"/>
      <c r="H581" s="352"/>
      <c r="I581" s="353"/>
    </row>
    <row r="582" spans="1:10" ht="15" hidden="1" customHeight="1">
      <c r="A582" s="713" t="s">
        <v>352</v>
      </c>
      <c r="B582" s="713"/>
      <c r="C582" s="713"/>
      <c r="D582" s="713"/>
      <c r="E582" s="310"/>
      <c r="F582" s="354"/>
      <c r="G582" s="310"/>
      <c r="H582" s="352"/>
      <c r="I582" s="353"/>
    </row>
    <row r="583" spans="1:10" hidden="1">
      <c r="A583" s="713" t="s">
        <v>71</v>
      </c>
      <c r="B583" s="713"/>
      <c r="C583" s="713"/>
      <c r="D583" s="713"/>
      <c r="E583" s="310"/>
      <c r="F583" s="354"/>
      <c r="G583" s="310"/>
      <c r="H583" s="352"/>
      <c r="I583" s="353"/>
    </row>
    <row r="584" spans="1:10" hidden="1">
      <c r="A584" s="351"/>
      <c r="B584" s="351"/>
      <c r="C584" s="351">
        <v>3020</v>
      </c>
      <c r="D584" s="359">
        <v>7800</v>
      </c>
      <c r="E584" s="310"/>
      <c r="F584" s="354"/>
      <c r="G584" s="310"/>
      <c r="H584" s="352"/>
      <c r="I584" s="353"/>
    </row>
    <row r="585" spans="1:10" hidden="1">
      <c r="A585" s="351"/>
      <c r="B585" s="351"/>
      <c r="C585" s="351">
        <v>4010</v>
      </c>
      <c r="D585" s="359">
        <v>45000</v>
      </c>
      <c r="E585" s="310"/>
      <c r="F585" s="354"/>
      <c r="G585" s="310"/>
      <c r="H585" s="352"/>
      <c r="I585" s="353"/>
    </row>
    <row r="586" spans="1:10" hidden="1">
      <c r="A586" s="351"/>
      <c r="B586" s="351"/>
      <c r="C586" s="351">
        <v>4110</v>
      </c>
      <c r="D586" s="359">
        <v>9300</v>
      </c>
      <c r="E586" s="310"/>
      <c r="F586" s="354"/>
      <c r="G586" s="310"/>
      <c r="H586" s="352"/>
      <c r="I586" s="353"/>
    </row>
    <row r="587" spans="1:10" hidden="1">
      <c r="A587" s="351"/>
      <c r="B587" s="351"/>
      <c r="C587" s="351">
        <v>4120</v>
      </c>
      <c r="D587" s="359">
        <v>1300</v>
      </c>
      <c r="E587" s="310"/>
      <c r="F587" s="354"/>
      <c r="G587" s="310"/>
      <c r="H587" s="352"/>
      <c r="I587" s="353"/>
    </row>
    <row r="588" spans="1:10" hidden="1">
      <c r="A588" s="351"/>
      <c r="B588" s="351"/>
      <c r="C588" s="351"/>
      <c r="D588" s="359">
        <f>SUM(D584:D587)</f>
        <v>63400</v>
      </c>
      <c r="E588" s="310"/>
      <c r="F588" s="354"/>
      <c r="G588" s="310"/>
      <c r="H588" s="352"/>
      <c r="I588" s="353"/>
    </row>
    <row r="589" spans="1:10" hidden="1">
      <c r="A589" s="717" t="s">
        <v>668</v>
      </c>
      <c r="B589" s="717"/>
      <c r="C589" s="717"/>
      <c r="D589" s="717"/>
      <c r="E589" s="304"/>
      <c r="F589" s="304"/>
      <c r="G589" s="346"/>
    </row>
    <row r="590" spans="1:10" ht="15" hidden="1" customHeight="1">
      <c r="A590" s="718" t="s">
        <v>303</v>
      </c>
      <c r="B590" s="719"/>
      <c r="C590" s="719"/>
      <c r="D590" s="719"/>
      <c r="E590" s="719"/>
      <c r="F590" s="719"/>
      <c r="G590" s="719"/>
    </row>
    <row r="591" spans="1:10" ht="15" hidden="1" customHeight="1">
      <c r="A591" s="360"/>
      <c r="B591" s="361"/>
      <c r="C591" s="361"/>
      <c r="D591" s="362" t="s">
        <v>131</v>
      </c>
      <c r="E591" s="361"/>
      <c r="F591" s="363">
        <f>F555-585000</f>
        <v>-585000</v>
      </c>
      <c r="G591" s="361"/>
      <c r="H591" s="274">
        <f>H555-F552</f>
        <v>-34987027</v>
      </c>
      <c r="I591" s="298"/>
    </row>
    <row r="592" spans="1:10" ht="18" customHeight="1">
      <c r="A592" s="718"/>
      <c r="B592" s="719"/>
      <c r="C592" s="719"/>
      <c r="D592" s="719"/>
      <c r="E592" s="719"/>
      <c r="F592" s="719"/>
      <c r="G592" s="719"/>
      <c r="J592" s="364"/>
    </row>
    <row r="593" spans="1:11" ht="15" customHeight="1">
      <c r="A593" s="720" t="s">
        <v>371</v>
      </c>
      <c r="B593" s="721"/>
      <c r="C593" s="722"/>
      <c r="D593" s="459" t="s">
        <v>722</v>
      </c>
      <c r="E593" s="459" t="s">
        <v>723</v>
      </c>
      <c r="F593" s="366" t="s">
        <v>310</v>
      </c>
      <c r="G593" s="367"/>
    </row>
    <row r="594" spans="1:11" ht="17.25" customHeight="1">
      <c r="A594" s="726" t="s">
        <v>255</v>
      </c>
      <c r="B594" s="726"/>
      <c r="C594" s="726"/>
      <c r="D594" s="368">
        <f>SUM(E37+E44+E51+E55+E59+E132+E136+E143+E147+E151+E245+E249+E256+E260+E264+E328+E331+E334+E336+E338+E470+E474+E480+E484+E488+E403+E406+E408+E410)</f>
        <v>22715509</v>
      </c>
      <c r="E594" s="368">
        <f>SUM(F37+F44+F51+F55+F59+F132+F136+F143+F147+F151+F245+F249+F256+F260+F264+F328+F331+F334+F336+F338+F470+F474+F480+F484+F488+F403+F406+F408+F410)</f>
        <v>25253820</v>
      </c>
      <c r="F594" s="369">
        <f t="shared" ref="F594:F600" si="10">E594-D594</f>
        <v>2538311</v>
      </c>
      <c r="G594" s="370">
        <f>SUM(E594/D594)</f>
        <v>1.1117435228944244</v>
      </c>
      <c r="I594" s="274"/>
    </row>
    <row r="595" spans="1:11" ht="25.5" customHeight="1">
      <c r="A595" s="726" t="s">
        <v>257</v>
      </c>
      <c r="B595" s="726"/>
      <c r="C595" s="726"/>
      <c r="D595" s="368">
        <f>SUM(E176+E179+E184+E187+E190+E384+E387+E390+E393)</f>
        <v>3051636</v>
      </c>
      <c r="E595" s="368">
        <f>SUM(F176+F179+F184+F187+F190+F384+F387+F390+F393)</f>
        <v>3428280</v>
      </c>
      <c r="F595" s="369">
        <f t="shared" si="10"/>
        <v>376644</v>
      </c>
      <c r="G595" s="370">
        <f t="shared" ref="G595:G600" si="11">SUM(E595/D595)</f>
        <v>1.123423632438469</v>
      </c>
      <c r="I595" s="274"/>
    </row>
    <row r="596" spans="1:11" ht="17.25" customHeight="1">
      <c r="A596" s="726" t="s">
        <v>256</v>
      </c>
      <c r="B596" s="726"/>
      <c r="C596" s="726"/>
      <c r="D596" s="368">
        <f>SUM(E5+E8+E10+E11)</f>
        <v>1192940</v>
      </c>
      <c r="E596" s="368">
        <f>SUM(F5+F8+F10+F11)</f>
        <v>1221150</v>
      </c>
      <c r="F596" s="369">
        <f t="shared" si="10"/>
        <v>28210</v>
      </c>
      <c r="G596" s="370">
        <f t="shared" si="11"/>
        <v>1.0236474592184015</v>
      </c>
      <c r="I596" s="274"/>
    </row>
    <row r="597" spans="1:11" ht="66.75" customHeight="1">
      <c r="A597" s="727" t="s">
        <v>572</v>
      </c>
      <c r="B597" s="728"/>
      <c r="C597" s="729"/>
      <c r="D597" s="368">
        <f>D600-D594-D595-D596-D599-D598</f>
        <v>4383259</v>
      </c>
      <c r="E597" s="368">
        <f>E600-E594-E595-E596-E599-E598</f>
        <v>3920329</v>
      </c>
      <c r="F597" s="369">
        <f t="shared" si="10"/>
        <v>-462930</v>
      </c>
      <c r="G597" s="370">
        <f t="shared" si="11"/>
        <v>0.89438680214881205</v>
      </c>
      <c r="I597" s="298"/>
      <c r="K597" s="274"/>
    </row>
    <row r="598" spans="1:11" ht="16.5" customHeight="1">
      <c r="A598" s="730" t="s">
        <v>370</v>
      </c>
      <c r="B598" s="721"/>
      <c r="C598" s="722"/>
      <c r="D598" s="368">
        <f>SUM(E94+E212+E288+E18+E350+E417)</f>
        <v>110370</v>
      </c>
      <c r="E598" s="368">
        <f>SUM(F94+F212+F288+F18+F350+F417)</f>
        <v>84100</v>
      </c>
      <c r="F598" s="369">
        <f t="shared" si="10"/>
        <v>-26270</v>
      </c>
      <c r="G598" s="370">
        <f t="shared" si="11"/>
        <v>0.76198242275980788</v>
      </c>
      <c r="I598" s="274"/>
      <c r="K598" s="274"/>
    </row>
    <row r="599" spans="1:11" ht="15.75" customHeight="1">
      <c r="A599" s="730" t="s">
        <v>35</v>
      </c>
      <c r="B599" s="731"/>
      <c r="C599" s="732"/>
      <c r="D599" s="368">
        <f>E121+E171+E235+E315+E30+E363+E506</f>
        <v>1016228</v>
      </c>
      <c r="E599" s="368">
        <f>F121+F171+F235+F315+F30+F363+F506</f>
        <v>1079348</v>
      </c>
      <c r="F599" s="369">
        <f>E599-D599</f>
        <v>63120</v>
      </c>
      <c r="G599" s="370">
        <f t="shared" si="11"/>
        <v>1.062112045722023</v>
      </c>
      <c r="I599" s="274"/>
      <c r="K599" s="274"/>
    </row>
    <row r="600" spans="1:11" ht="17.25" customHeight="1">
      <c r="A600" s="725" t="s">
        <v>36</v>
      </c>
      <c r="B600" s="721"/>
      <c r="C600" s="722"/>
      <c r="D600" s="373">
        <f>E552</f>
        <v>32469942</v>
      </c>
      <c r="E600" s="373">
        <f>F552</f>
        <v>34987027</v>
      </c>
      <c r="F600" s="374">
        <f t="shared" si="10"/>
        <v>2517085</v>
      </c>
      <c r="G600" s="370">
        <f t="shared" si="11"/>
        <v>1.0775204649272241</v>
      </c>
      <c r="I600" s="274"/>
      <c r="K600" s="274"/>
    </row>
    <row r="601" spans="1:11">
      <c r="A601" s="388"/>
      <c r="B601" s="388"/>
      <c r="C601" s="388"/>
      <c r="D601" s="389"/>
      <c r="E601" s="389"/>
      <c r="F601" s="389"/>
      <c r="G601" s="388"/>
    </row>
    <row r="602" spans="1:11" ht="15.75" customHeight="1">
      <c r="A602" s="388"/>
      <c r="B602" s="388"/>
      <c r="C602" s="388"/>
      <c r="D602" s="389" t="s">
        <v>276</v>
      </c>
      <c r="E602" s="389"/>
      <c r="F602" s="390">
        <f>SUM(F603:F605)</f>
        <v>18160579</v>
      </c>
      <c r="G602" s="388"/>
    </row>
    <row r="603" spans="1:11">
      <c r="D603" s="275" t="s">
        <v>277</v>
      </c>
      <c r="E603" s="298">
        <f>'Zbiorczo-paragr'!E39+'Zbiorczo-paragr'!E46+'Zbiorczo-paragr'!E57+'ZS Mich'!E26+'ZS Mich'!E130+'ZSP NW'!E167+'ZSP NW'!E170+'ZSP NW'!E172+'ZSP NW'!E174+'ZSO Kom'!E147+'ZSO Kom'!E149+'ZSO Kom'!E151+'ZSO Kom'!E153</f>
        <v>13258646</v>
      </c>
      <c r="F603" s="298">
        <f>'Zbiorczo-paragr'!F39+'Zbiorczo-paragr'!F46+'Zbiorczo-paragr'!F57+'ZS Mich'!F111+'ZS Mich'!F114+'ZS Mich'!F116+'ZS Mich'!F118+'ZSP NW'!F167+'ZSP NW'!F170+'ZSP NW'!F172+'ZSP NW'!F174+'ZSO Kom'!F147+'ZSO Kom'!F149+'ZSO Kom'!F151+'ZSO Kom'!F153</f>
        <v>16642420</v>
      </c>
      <c r="G603" s="723">
        <f>F603-E603</f>
        <v>3383774</v>
      </c>
      <c r="H603" s="724"/>
    </row>
    <row r="604" spans="1:11">
      <c r="D604" s="275" t="s">
        <v>278</v>
      </c>
      <c r="E604" s="298">
        <f>E51</f>
        <v>695000</v>
      </c>
      <c r="F604" s="298">
        <f>F51</f>
        <v>888000</v>
      </c>
      <c r="G604" s="723">
        <f>F604-E604</f>
        <v>193000</v>
      </c>
      <c r="H604" s="724"/>
    </row>
    <row r="605" spans="1:11">
      <c r="D605" s="275" t="s">
        <v>279</v>
      </c>
      <c r="E605" s="298">
        <f>SUM(E121)</f>
        <v>534723</v>
      </c>
      <c r="F605" s="298">
        <f>SUM(F121)</f>
        <v>630159</v>
      </c>
      <c r="G605" s="723">
        <f>F605-E605</f>
        <v>95436</v>
      </c>
      <c r="H605" s="724"/>
    </row>
    <row r="606" spans="1:11">
      <c r="E606" s="298"/>
      <c r="G606" s="391"/>
      <c r="H606" s="392"/>
    </row>
    <row r="607" spans="1:11">
      <c r="F607" s="304">
        <f>SUM(F608:F610)</f>
        <v>1460101</v>
      </c>
      <c r="H607" s="315">
        <f>SUM(G603:H605)</f>
        <v>3672210</v>
      </c>
    </row>
    <row r="608" spans="1:11">
      <c r="D608" s="275" t="s">
        <v>280</v>
      </c>
      <c r="E608" s="298">
        <f>SUM(E132+E136+E147+E151)</f>
        <v>1327039</v>
      </c>
      <c r="F608" s="298">
        <f>SUM(F132+F136+F147+F151)</f>
        <v>1314520</v>
      </c>
      <c r="H608" s="274">
        <f>SUM(F608-E608)</f>
        <v>-12519</v>
      </c>
    </row>
    <row r="609" spans="4:8">
      <c r="D609" s="275" t="s">
        <v>278</v>
      </c>
      <c r="E609" s="298">
        <f>SUM(E143)</f>
        <v>63500</v>
      </c>
      <c r="F609" s="298">
        <f>SUM(F143)</f>
        <v>81500</v>
      </c>
      <c r="H609" s="274">
        <f t="shared" ref="H609:H620" si="12">SUM(F609-E609)</f>
        <v>18000</v>
      </c>
    </row>
    <row r="610" spans="4:8">
      <c r="D610" s="275" t="s">
        <v>279</v>
      </c>
      <c r="E610" s="298">
        <f>E171</f>
        <v>55082</v>
      </c>
      <c r="F610" s="298">
        <f>F171</f>
        <v>64081</v>
      </c>
      <c r="H610" s="274">
        <f t="shared" si="12"/>
        <v>8999</v>
      </c>
    </row>
    <row r="611" spans="4:8">
      <c r="H611" s="315">
        <f>SUM(H608:H610)</f>
        <v>14480</v>
      </c>
    </row>
    <row r="612" spans="4:8">
      <c r="F612" s="304">
        <f>SUM(F613:F615)</f>
        <v>3501520</v>
      </c>
      <c r="H612" s="315"/>
    </row>
    <row r="613" spans="4:8">
      <c r="D613" s="275" t="s">
        <v>281</v>
      </c>
      <c r="E613" s="298">
        <f>SUM(E176+E179+E187+E190)</f>
        <v>2855937</v>
      </c>
      <c r="F613" s="298">
        <f>SUM(F176+F179+F187+F190)</f>
        <v>3196050</v>
      </c>
      <c r="H613" s="274">
        <f t="shared" si="12"/>
        <v>340113</v>
      </c>
    </row>
    <row r="614" spans="4:8">
      <c r="D614" s="275" t="s">
        <v>278</v>
      </c>
      <c r="E614" s="298">
        <f>SUM(E184)</f>
        <v>163000</v>
      </c>
      <c r="F614" s="298">
        <f>SUM(F184)</f>
        <v>185000</v>
      </c>
      <c r="H614" s="274">
        <f t="shared" si="12"/>
        <v>22000</v>
      </c>
    </row>
    <row r="615" spans="4:8">
      <c r="D615" s="275" t="s">
        <v>279</v>
      </c>
      <c r="E615" s="298">
        <f>SUM(E235)</f>
        <v>122982</v>
      </c>
      <c r="F615" s="298">
        <f>SUM(F235)</f>
        <v>120470</v>
      </c>
      <c r="H615" s="274">
        <f t="shared" si="12"/>
        <v>-2512</v>
      </c>
    </row>
    <row r="616" spans="4:8">
      <c r="E616" s="298"/>
    </row>
    <row r="617" spans="4:8">
      <c r="F617" s="304" t="e">
        <f>SUM(F618:F620)</f>
        <v>#REF!</v>
      </c>
      <c r="H617" s="315">
        <f>SUM(H613:H615)</f>
        <v>359601</v>
      </c>
    </row>
    <row r="618" spans="4:8">
      <c r="D618" s="275" t="s">
        <v>282</v>
      </c>
      <c r="E618" s="274" t="e">
        <f>SUM(E245+E249+E260+E264+'ZSP NW'!#REF!+'ZSP NW'!#REF!+'ZSP NW'!#REF!+'ZSP NW'!#REF!)</f>
        <v>#REF!</v>
      </c>
      <c r="F618" s="298" t="e">
        <f>SUM(F245+F249+F260+F264+'ZSP NW'!#REF!+'ZSP NW'!#REF!+'ZSP NW'!#REF!+'ZSP NW'!#REF!)</f>
        <v>#REF!</v>
      </c>
      <c r="H618" s="274" t="e">
        <f>SUM(F618-E618)</f>
        <v>#REF!</v>
      </c>
    </row>
    <row r="619" spans="4:8">
      <c r="D619" s="275" t="s">
        <v>278</v>
      </c>
      <c r="E619" s="298">
        <f>SUM(E256)</f>
        <v>286000</v>
      </c>
      <c r="F619" s="298">
        <f>SUM(F256)</f>
        <v>244400</v>
      </c>
      <c r="H619" s="274">
        <f t="shared" si="12"/>
        <v>-41600</v>
      </c>
    </row>
    <row r="620" spans="4:8">
      <c r="D620" s="275" t="s">
        <v>279</v>
      </c>
      <c r="E620" s="298">
        <f>SUM(E315)</f>
        <v>148161</v>
      </c>
      <c r="F620" s="298">
        <f>SUM(F315)</f>
        <v>93577</v>
      </c>
      <c r="H620" s="274">
        <f t="shared" si="12"/>
        <v>-54584</v>
      </c>
    </row>
    <row r="621" spans="4:8">
      <c r="E621" s="298"/>
    </row>
    <row r="622" spans="4:8">
      <c r="F622" s="304" t="e">
        <f>SUM(F623:F625)</f>
        <v>#REF!</v>
      </c>
      <c r="H622" s="315" t="e">
        <f>SUM(H618:H620)</f>
        <v>#REF!</v>
      </c>
    </row>
    <row r="623" spans="4:8">
      <c r="D623" s="275" t="s">
        <v>283</v>
      </c>
      <c r="E623" s="298" t="e">
        <f>SUM(E328+E331+E336+E338+'ZSO Kom'!#REF!+'ZSO Kom'!#REF!+'ZSO Kom'!#REF!+'ZSO Kom'!#REF!)</f>
        <v>#REF!</v>
      </c>
      <c r="F623" s="298" t="e">
        <f>SUM(F328+F331+F336+F338+'ZSO Kom'!#REF!+'ZSO Kom'!#REF!+'ZSO Kom'!#REF!+'ZSO Kom'!#REF!)</f>
        <v>#REF!</v>
      </c>
      <c r="H623" s="274" t="e">
        <f>SUM(F623-E623)</f>
        <v>#REF!</v>
      </c>
    </row>
    <row r="624" spans="4:8">
      <c r="D624" s="275" t="s">
        <v>278</v>
      </c>
      <c r="E624" s="298">
        <f>SUM(E334)</f>
        <v>93000</v>
      </c>
      <c r="F624" s="298">
        <f>SUM(F334)</f>
        <v>96000</v>
      </c>
      <c r="H624" s="274">
        <f>SUM(F624-E624)</f>
        <v>3000</v>
      </c>
    </row>
    <row r="625" spans="4:8">
      <c r="D625" s="275" t="s">
        <v>279</v>
      </c>
      <c r="E625" s="298">
        <f>SUM(E363)</f>
        <v>55668</v>
      </c>
      <c r="F625" s="298">
        <f>SUM(F363)</f>
        <v>58966</v>
      </c>
      <c r="H625" s="274">
        <f>SUM(F625-E625)</f>
        <v>3298</v>
      </c>
    </row>
    <row r="626" spans="4:8">
      <c r="E626" s="298"/>
    </row>
    <row r="627" spans="4:8">
      <c r="F627" s="304">
        <f>SUM(F628:F630)</f>
        <v>2143065</v>
      </c>
      <c r="H627" s="315" t="e">
        <f>SUM(H623:H625)</f>
        <v>#REF!</v>
      </c>
    </row>
    <row r="628" spans="4:8">
      <c r="D628" s="275" t="s">
        <v>284</v>
      </c>
      <c r="E628" s="298">
        <f>SUM(E470+E474+E484+E488)</f>
        <v>1837475</v>
      </c>
      <c r="F628" s="298">
        <f>SUM(F470+F474+F484+F488)</f>
        <v>1942500</v>
      </c>
      <c r="H628" s="274">
        <f>SUM(F628-E628)</f>
        <v>105025</v>
      </c>
    </row>
    <row r="629" spans="4:8">
      <c r="D629" s="275" t="s">
        <v>278</v>
      </c>
      <c r="E629" s="298">
        <f>SUM(E480)</f>
        <v>84800</v>
      </c>
      <c r="F629" s="298">
        <f>SUM(F480)</f>
        <v>102500</v>
      </c>
      <c r="H629" s="274">
        <f>SUM(F629-E629)</f>
        <v>17700</v>
      </c>
    </row>
    <row r="630" spans="4:8">
      <c r="D630" s="275" t="s">
        <v>279</v>
      </c>
      <c r="E630" s="298">
        <f>SUM(E506)</f>
        <v>85582</v>
      </c>
      <c r="F630" s="298">
        <f>SUM(F506)</f>
        <v>98065</v>
      </c>
      <c r="H630" s="274">
        <f>SUM(F630-E630)</f>
        <v>12483</v>
      </c>
    </row>
    <row r="631" spans="4:8">
      <c r="H631" s="315">
        <f>SUM(H628:H630)</f>
        <v>135208</v>
      </c>
    </row>
    <row r="632" spans="4:8">
      <c r="D632" s="275" t="s">
        <v>655</v>
      </c>
      <c r="E632" s="298">
        <f>'ZS Mich'!E198+'ZSP NW'!E237+'ZSO Kom'!E254</f>
        <v>660000</v>
      </c>
    </row>
    <row r="633" spans="4:8">
      <c r="D633" s="275" t="s">
        <v>657</v>
      </c>
      <c r="E633" s="298">
        <f>'ZSO Kom'!E255</f>
        <v>0</v>
      </c>
    </row>
    <row r="634" spans="4:8">
      <c r="D634" s="275" t="s">
        <v>656</v>
      </c>
      <c r="E634" s="298">
        <f>'ZSP NW'!E238</f>
        <v>0</v>
      </c>
    </row>
    <row r="635" spans="4:8">
      <c r="E635" s="298">
        <f>SUM(E632:E634)</f>
        <v>660000</v>
      </c>
    </row>
    <row r="636" spans="4:8">
      <c r="E636" s="298"/>
    </row>
    <row r="637" spans="4:8">
      <c r="E637" s="298"/>
    </row>
  </sheetData>
  <mergeCells count="89">
    <mergeCell ref="G603:H603"/>
    <mergeCell ref="G604:H604"/>
    <mergeCell ref="G605:H605"/>
    <mergeCell ref="A600:C600"/>
    <mergeCell ref="A594:C594"/>
    <mergeCell ref="A595:C595"/>
    <mergeCell ref="A596:C596"/>
    <mergeCell ref="A597:C597"/>
    <mergeCell ref="A598:C598"/>
    <mergeCell ref="A599:C599"/>
    <mergeCell ref="A582:D582"/>
    <mergeCell ref="A583:D583"/>
    <mergeCell ref="A589:D589"/>
    <mergeCell ref="A590:G590"/>
    <mergeCell ref="A592:G592"/>
    <mergeCell ref="A593:C593"/>
    <mergeCell ref="A566:G566"/>
    <mergeCell ref="A572:G572"/>
    <mergeCell ref="A578:D578"/>
    <mergeCell ref="A579:D579"/>
    <mergeCell ref="A580:D580"/>
    <mergeCell ref="A581:D581"/>
    <mergeCell ref="A558:E558"/>
    <mergeCell ref="A559:E559"/>
    <mergeCell ref="A560:D560"/>
    <mergeCell ref="A561:E561"/>
    <mergeCell ref="A563:G563"/>
    <mergeCell ref="A565:C565"/>
    <mergeCell ref="A552:D552"/>
    <mergeCell ref="A553:C553"/>
    <mergeCell ref="A556:G556"/>
    <mergeCell ref="A557:F557"/>
    <mergeCell ref="A543:A549"/>
    <mergeCell ref="B543:B549"/>
    <mergeCell ref="C543:C545"/>
    <mergeCell ref="C546:C549"/>
    <mergeCell ref="A550:D550"/>
    <mergeCell ref="A551:D551"/>
    <mergeCell ref="A532:D532"/>
    <mergeCell ref="A533:A541"/>
    <mergeCell ref="B533:B541"/>
    <mergeCell ref="C533:C537"/>
    <mergeCell ref="C538:C541"/>
    <mergeCell ref="A542:D542"/>
    <mergeCell ref="A511:A531"/>
    <mergeCell ref="B511:B531"/>
    <mergeCell ref="H513:L513"/>
    <mergeCell ref="A464:D464"/>
    <mergeCell ref="A465:D465"/>
    <mergeCell ref="A468:D468"/>
    <mergeCell ref="A470:A509"/>
    <mergeCell ref="B470:B509"/>
    <mergeCell ref="A510:D510"/>
    <mergeCell ref="A440:D440"/>
    <mergeCell ref="A453:D453"/>
    <mergeCell ref="A454:A463"/>
    <mergeCell ref="B454:B463"/>
    <mergeCell ref="C454:C455"/>
    <mergeCell ref="C456:C457"/>
    <mergeCell ref="C458:C459"/>
    <mergeCell ref="C460:C461"/>
    <mergeCell ref="C462:C463"/>
    <mergeCell ref="A402:D402"/>
    <mergeCell ref="A403:A422"/>
    <mergeCell ref="B403:B422"/>
    <mergeCell ref="B424:B439"/>
    <mergeCell ref="C424:C426"/>
    <mergeCell ref="C427:C429"/>
    <mergeCell ref="C430:C432"/>
    <mergeCell ref="C433:C435"/>
    <mergeCell ref="C436:C437"/>
    <mergeCell ref="C438:C439"/>
    <mergeCell ref="A327:D327"/>
    <mergeCell ref="A367:D367"/>
    <mergeCell ref="B37:B130"/>
    <mergeCell ref="A175:D175"/>
    <mergeCell ref="A383:D383"/>
    <mergeCell ref="A384:A401"/>
    <mergeCell ref="B384:B401"/>
    <mergeCell ref="A423:D423"/>
    <mergeCell ref="A424:A439"/>
    <mergeCell ref="A1:G1"/>
    <mergeCell ref="A3:A35"/>
    <mergeCell ref="B3:B35"/>
    <mergeCell ref="A36:D36"/>
    <mergeCell ref="A37:A130"/>
    <mergeCell ref="A131:D131"/>
    <mergeCell ref="A244:D244"/>
    <mergeCell ref="A323:D323"/>
  </mergeCells>
  <pageMargins left="0" right="0" top="0.39370078740157483" bottom="0.39370078740157483" header="0.31496062992125984" footer="0.31496062992125984"/>
  <pageSetup paperSize="9" scale="54" orientation="portrait" r:id="rId1"/>
  <headerFooter>
    <oddFooter>Strona &amp;P z &amp;N</oddFooter>
  </headerFooter>
  <rowBreaks count="8" manualBreakCount="8">
    <brk id="50" max="16383" man="1"/>
    <brk id="105" max="6" man="1"/>
    <brk id="175" max="6" man="1"/>
    <brk id="244" max="6" man="1"/>
    <brk id="281" max="16383" man="1"/>
    <brk id="367" max="6" man="1"/>
    <brk id="453" max="6" man="1"/>
    <brk id="554" max="6" man="1"/>
  </rowBreaks>
</worksheet>
</file>

<file path=xl/worksheets/sheet13.xml><?xml version="1.0" encoding="utf-8"?>
<worksheet xmlns="http://schemas.openxmlformats.org/spreadsheetml/2006/main" xmlns:r="http://schemas.openxmlformats.org/officeDocument/2006/relationships">
  <dimension ref="A1:K160"/>
  <sheetViews>
    <sheetView topLeftCell="A94" zoomScaleNormal="100" workbookViewId="0">
      <selection activeCell="G117" sqref="G117"/>
    </sheetView>
  </sheetViews>
  <sheetFormatPr defaultRowHeight="15"/>
  <cols>
    <col min="1" max="1" width="4.5703125" style="13" customWidth="1"/>
    <col min="2" max="2" width="6.85546875" style="13" customWidth="1"/>
    <col min="3" max="3" width="7" style="13" customWidth="1"/>
    <col min="4" max="4" width="82" style="13" customWidth="1"/>
    <col min="5" max="5" width="14.28515625" style="13" customWidth="1"/>
    <col min="6" max="6" width="15.7109375" style="79" customWidth="1"/>
    <col min="7" max="7" width="12.28515625" style="13" bestFit="1" customWidth="1"/>
    <col min="8" max="8" width="13.42578125" style="24" customWidth="1"/>
    <col min="9" max="9" width="13.28515625" style="13" bestFit="1" customWidth="1"/>
    <col min="10" max="10" width="10" style="13" bestFit="1" customWidth="1"/>
    <col min="11" max="11" width="10.140625" style="13" bestFit="1" customWidth="1"/>
    <col min="12" max="16384" width="9.140625" style="13"/>
  </cols>
  <sheetData>
    <row r="1" spans="1:11">
      <c r="A1" s="485" t="s">
        <v>762</v>
      </c>
      <c r="B1" s="485"/>
      <c r="C1" s="485"/>
      <c r="D1" s="485"/>
      <c r="E1" s="760"/>
      <c r="F1" s="760"/>
      <c r="G1" s="760"/>
    </row>
    <row r="2" spans="1:11" ht="46.5" customHeight="1">
      <c r="A2" s="14" t="s">
        <v>287</v>
      </c>
      <c r="B2" s="14" t="s">
        <v>406</v>
      </c>
      <c r="C2" s="14" t="s">
        <v>368</v>
      </c>
      <c r="D2" s="14" t="s">
        <v>134</v>
      </c>
      <c r="E2" s="16" t="s">
        <v>687</v>
      </c>
      <c r="F2" s="149" t="s">
        <v>688</v>
      </c>
      <c r="G2" s="16" t="s">
        <v>331</v>
      </c>
    </row>
    <row r="3" spans="1:11" ht="33" customHeight="1">
      <c r="A3" s="758">
        <v>801</v>
      </c>
      <c r="B3" s="758">
        <v>80101</v>
      </c>
      <c r="C3" s="75">
        <v>2310</v>
      </c>
      <c r="D3" s="75" t="s">
        <v>328</v>
      </c>
      <c r="E3" s="81">
        <f>E4</f>
        <v>2100</v>
      </c>
      <c r="F3" s="81">
        <f>F4</f>
        <v>2100</v>
      </c>
      <c r="G3" s="19">
        <f>SUM(F3/E3)</f>
        <v>1</v>
      </c>
    </row>
    <row r="4" spans="1:11" ht="17.45" customHeight="1">
      <c r="A4" s="759"/>
      <c r="B4" s="759"/>
      <c r="C4" s="148"/>
      <c r="D4" s="33" t="str">
        <f>CUW!D38</f>
        <v>nauka religii w pozaszkolnych punktach katechetycznych</v>
      </c>
      <c r="E4" s="82">
        <f>CUW!E37</f>
        <v>2100</v>
      </c>
      <c r="F4" s="82">
        <f>CUW!F37</f>
        <v>2100</v>
      </c>
      <c r="G4" s="23">
        <f>SUM(F4/E4)</f>
        <v>1</v>
      </c>
    </row>
    <row r="5" spans="1:11">
      <c r="A5" s="740" t="s">
        <v>90</v>
      </c>
      <c r="B5" s="753"/>
      <c r="C5" s="753"/>
      <c r="D5" s="754"/>
      <c r="E5" s="84">
        <f>SUM(E3)</f>
        <v>2100</v>
      </c>
      <c r="F5" s="84">
        <f>SUM(F3)</f>
        <v>2100</v>
      </c>
      <c r="G5" s="26">
        <f t="shared" ref="G5:G10" si="0">SUM(F5/E5)</f>
        <v>1</v>
      </c>
      <c r="I5" s="80"/>
    </row>
    <row r="6" spans="1:11" ht="30.75" customHeight="1">
      <c r="A6" s="758">
        <v>801</v>
      </c>
      <c r="B6" s="758">
        <v>80103</v>
      </c>
      <c r="C6" s="75">
        <v>2310</v>
      </c>
      <c r="D6" s="75" t="s">
        <v>328</v>
      </c>
      <c r="E6" s="81">
        <f>SUM(E7:E8)</f>
        <v>14145</v>
      </c>
      <c r="F6" s="81">
        <f>SUM(F7:F8)</f>
        <v>31680</v>
      </c>
      <c r="G6" s="19">
        <f t="shared" si="0"/>
        <v>2.23966065747614</v>
      </c>
    </row>
    <row r="7" spans="1:11" ht="19.5" customHeight="1">
      <c r="A7" s="764"/>
      <c r="B7" s="764"/>
      <c r="C7" s="766"/>
      <c r="D7" s="21" t="str">
        <f>CUW!D41</f>
        <v>Oddziały przedszkolne w Warszawie</v>
      </c>
      <c r="E7" s="467">
        <f>CUW!E41</f>
        <v>12480</v>
      </c>
      <c r="F7" s="467">
        <f>CUW!F41</f>
        <v>31680</v>
      </c>
      <c r="G7" s="23">
        <f t="shared" si="0"/>
        <v>2.5384615384615383</v>
      </c>
    </row>
    <row r="8" spans="1:11" ht="16.5" customHeight="1">
      <c r="A8" s="764"/>
      <c r="B8" s="764"/>
      <c r="C8" s="767"/>
      <c r="D8" s="21" t="str">
        <f>CUW!D42</f>
        <v>Nauka języka ukraińskiego</v>
      </c>
      <c r="E8" s="467">
        <f>CUW!E42</f>
        <v>1665</v>
      </c>
      <c r="F8" s="467">
        <f>CUW!F42</f>
        <v>0</v>
      </c>
      <c r="G8" s="23">
        <f t="shared" si="0"/>
        <v>0</v>
      </c>
    </row>
    <row r="9" spans="1:11" ht="31.5" customHeight="1">
      <c r="A9" s="764"/>
      <c r="B9" s="764"/>
      <c r="C9" s="75">
        <v>4330</v>
      </c>
      <c r="D9" s="75" t="s">
        <v>316</v>
      </c>
      <c r="E9" s="81">
        <f>E10</f>
        <v>6335</v>
      </c>
      <c r="F9" s="81">
        <f>F10</f>
        <v>6000</v>
      </c>
      <c r="G9" s="19">
        <f t="shared" si="0"/>
        <v>0.94711917916337807</v>
      </c>
      <c r="I9" s="24"/>
    </row>
    <row r="10" spans="1:11" ht="17.25" customHeight="1">
      <c r="A10" s="765"/>
      <c r="B10" s="765"/>
      <c r="C10" s="20"/>
      <c r="D10" s="27" t="s">
        <v>398</v>
      </c>
      <c r="E10" s="82">
        <f>SUM(CUW!E45)</f>
        <v>6335</v>
      </c>
      <c r="F10" s="82">
        <f>CUW!F45</f>
        <v>6000</v>
      </c>
      <c r="G10" s="23">
        <f t="shared" si="0"/>
        <v>0.94711917916337807</v>
      </c>
    </row>
    <row r="11" spans="1:11">
      <c r="A11" s="768" t="s">
        <v>129</v>
      </c>
      <c r="B11" s="769"/>
      <c r="C11" s="769"/>
      <c r="D11" s="756"/>
      <c r="E11" s="84">
        <f>SUM(E6+E9)</f>
        <v>20480</v>
      </c>
      <c r="F11" s="84">
        <f>SUM(F6+F9)</f>
        <v>37680</v>
      </c>
      <c r="G11" s="26">
        <f t="shared" ref="G11:G28" si="1">SUM(F11/E11)</f>
        <v>1.83984375</v>
      </c>
      <c r="I11" s="80"/>
      <c r="J11" s="79"/>
      <c r="K11" s="24"/>
    </row>
    <row r="12" spans="1:11" ht="19.5" customHeight="1">
      <c r="A12" s="20">
        <v>801</v>
      </c>
      <c r="B12" s="17">
        <v>80104</v>
      </c>
      <c r="C12" s="17">
        <v>2540</v>
      </c>
      <c r="D12" s="18" t="s">
        <v>415</v>
      </c>
      <c r="E12" s="81">
        <f>SUM(E13:E32)</f>
        <v>3908543</v>
      </c>
      <c r="F12" s="81">
        <f>SUM(F13:F32)</f>
        <v>4164213</v>
      </c>
      <c r="G12" s="19">
        <f t="shared" si="1"/>
        <v>1.0654131219740963</v>
      </c>
      <c r="I12" s="79"/>
    </row>
    <row r="13" spans="1:11" ht="16.149999999999999" customHeight="1">
      <c r="A13" s="20"/>
      <c r="B13" s="17"/>
      <c r="C13" s="20"/>
      <c r="D13" s="21" t="s">
        <v>416</v>
      </c>
      <c r="E13" s="82">
        <f>SUM(CUW!E48)</f>
        <v>647664</v>
      </c>
      <c r="F13" s="82">
        <f>SUM(CUW!F48)</f>
        <v>790562</v>
      </c>
      <c r="G13" s="23">
        <f t="shared" si="1"/>
        <v>1.2206360087946837</v>
      </c>
    </row>
    <row r="14" spans="1:11">
      <c r="A14" s="20"/>
      <c r="B14" s="17"/>
      <c r="C14" s="20"/>
      <c r="D14" s="21" t="s">
        <v>417</v>
      </c>
      <c r="E14" s="82">
        <f>SUM(CUW!E49)</f>
        <v>308334</v>
      </c>
      <c r="F14" s="82">
        <f>SUM(CUW!F49)</f>
        <v>357211</v>
      </c>
      <c r="G14" s="23">
        <f t="shared" si="1"/>
        <v>1.1585196572547951</v>
      </c>
    </row>
    <row r="15" spans="1:11">
      <c r="A15" s="20"/>
      <c r="B15" s="17"/>
      <c r="C15" s="20"/>
      <c r="D15" s="21" t="s">
        <v>265</v>
      </c>
      <c r="E15" s="82">
        <f>SUM(CUW!E50)</f>
        <v>47142</v>
      </c>
      <c r="F15" s="82">
        <f>SUM(CUW!F50)</f>
        <v>67644</v>
      </c>
      <c r="G15" s="23">
        <f t="shared" si="1"/>
        <v>1.4348988163421152</v>
      </c>
    </row>
    <row r="16" spans="1:11">
      <c r="A16" s="20"/>
      <c r="B16" s="17"/>
      <c r="C16" s="20"/>
      <c r="D16" s="21" t="s">
        <v>336</v>
      </c>
      <c r="E16" s="82">
        <f>SUM(CUW!E51)</f>
        <v>394661</v>
      </c>
      <c r="F16" s="82">
        <f>SUM(CUW!F51)</f>
        <v>367221</v>
      </c>
      <c r="G16" s="23">
        <f t="shared" si="1"/>
        <v>0.93047197468206888</v>
      </c>
    </row>
    <row r="17" spans="1:7">
      <c r="A17" s="20"/>
      <c r="B17" s="17"/>
      <c r="C17" s="20"/>
      <c r="D17" s="20" t="s">
        <v>11</v>
      </c>
      <c r="E17" s="82">
        <f>SUM(CUW!E52)</f>
        <v>598974</v>
      </c>
      <c r="F17" s="82">
        <f>SUM(CUW!F52)</f>
        <v>690461</v>
      </c>
      <c r="G17" s="23">
        <f t="shared" si="1"/>
        <v>1.1527395179089577</v>
      </c>
    </row>
    <row r="18" spans="1:7" ht="16.5" customHeight="1">
      <c r="A18" s="20"/>
      <c r="B18" s="17"/>
      <c r="C18" s="20"/>
      <c r="D18" s="63" t="s">
        <v>79</v>
      </c>
      <c r="E18" s="82">
        <f>SUM(CUW!E53)</f>
        <v>94893</v>
      </c>
      <c r="F18" s="82">
        <f>SUM(CUW!F53)</f>
        <v>122092</v>
      </c>
      <c r="G18" s="23">
        <f t="shared" si="1"/>
        <v>1.2866280969091504</v>
      </c>
    </row>
    <row r="19" spans="1:7" ht="16.5" customHeight="1">
      <c r="A19" s="20"/>
      <c r="B19" s="17"/>
      <c r="C19" s="20"/>
      <c r="D19" s="27" t="s">
        <v>518</v>
      </c>
      <c r="E19" s="82">
        <f>SUM(CUW!E54)</f>
        <v>76058</v>
      </c>
      <c r="F19" s="82">
        <f>SUM(CUW!F54)</f>
        <v>139874</v>
      </c>
      <c r="G19" s="23">
        <f t="shared" si="1"/>
        <v>1.8390438875594941</v>
      </c>
    </row>
    <row r="20" spans="1:7" ht="16.5" customHeight="1">
      <c r="A20" s="20"/>
      <c r="B20" s="17"/>
      <c r="C20" s="20"/>
      <c r="D20" s="63" t="s">
        <v>424</v>
      </c>
      <c r="E20" s="82">
        <f>SUM(CUW!E55)</f>
        <v>310040</v>
      </c>
      <c r="F20" s="82">
        <f>SUM(CUW!F55)</f>
        <v>214075</v>
      </c>
      <c r="G20" s="23">
        <f t="shared" si="1"/>
        <v>0.6904754225261257</v>
      </c>
    </row>
    <row r="21" spans="1:7" ht="16.5" customHeight="1">
      <c r="A21" s="20"/>
      <c r="B21" s="17"/>
      <c r="C21" s="20"/>
      <c r="D21" s="63" t="s">
        <v>313</v>
      </c>
      <c r="E21" s="82">
        <f>SUM(CUW!E57)</f>
        <v>167867</v>
      </c>
      <c r="F21" s="82">
        <f>SUM(CUW!F57)</f>
        <v>189735</v>
      </c>
      <c r="G21" s="23">
        <f>SUM(F21/E21)</f>
        <v>1.1302697969225637</v>
      </c>
    </row>
    <row r="22" spans="1:7" ht="16.5" customHeight="1">
      <c r="A22" s="20"/>
      <c r="B22" s="17"/>
      <c r="C22" s="20"/>
      <c r="D22" s="63" t="s">
        <v>80</v>
      </c>
      <c r="E22" s="82">
        <f>SUM(CUW!E58)</f>
        <v>224450</v>
      </c>
      <c r="F22" s="82">
        <f>SUM(CUW!F58)</f>
        <v>196939</v>
      </c>
      <c r="G22" s="23">
        <f>SUM(F22/E22)</f>
        <v>0.87742927155268435</v>
      </c>
    </row>
    <row r="23" spans="1:7" ht="16.5" customHeight="1">
      <c r="A23" s="20"/>
      <c r="B23" s="17"/>
      <c r="C23" s="20"/>
      <c r="D23" s="21" t="s">
        <v>509</v>
      </c>
      <c r="E23" s="82">
        <f>SUM(CUW!E59)</f>
        <v>206870</v>
      </c>
      <c r="F23" s="82">
        <f>SUM(CUW!F59)</f>
        <v>210450</v>
      </c>
      <c r="G23" s="23">
        <f t="shared" si="1"/>
        <v>1.0173055542127907</v>
      </c>
    </row>
    <row r="24" spans="1:7" ht="16.5" customHeight="1">
      <c r="A24" s="20"/>
      <c r="B24" s="17"/>
      <c r="C24" s="20"/>
      <c r="D24" s="21" t="s">
        <v>510</v>
      </c>
      <c r="E24" s="82">
        <f>SUM(CUW!E60)</f>
        <v>123300</v>
      </c>
      <c r="F24" s="82">
        <f>SUM(CUW!F60)</f>
        <v>133285</v>
      </c>
      <c r="G24" s="23">
        <f t="shared" si="1"/>
        <v>1.0809813463098135</v>
      </c>
    </row>
    <row r="25" spans="1:7" ht="17.25" customHeight="1">
      <c r="A25" s="20"/>
      <c r="B25" s="17"/>
      <c r="C25" s="20"/>
      <c r="D25" s="21" t="s">
        <v>511</v>
      </c>
      <c r="E25" s="82">
        <f>SUM(CUW!E61)</f>
        <v>21920</v>
      </c>
      <c r="F25" s="82">
        <f>SUM(CUW!F61)</f>
        <v>22448</v>
      </c>
      <c r="G25" s="23">
        <f t="shared" si="1"/>
        <v>1.024087591240876</v>
      </c>
    </row>
    <row r="26" spans="1:7" ht="16.5" customHeight="1">
      <c r="A26" s="20"/>
      <c r="B26" s="17"/>
      <c r="C26" s="20"/>
      <c r="D26" s="21" t="s">
        <v>512</v>
      </c>
      <c r="E26" s="82">
        <f>SUM(CUW!E62)</f>
        <v>123300</v>
      </c>
      <c r="F26" s="82">
        <f>SUM(CUW!F62)</f>
        <v>133285</v>
      </c>
      <c r="G26" s="23">
        <f t="shared" si="1"/>
        <v>1.0809813463098135</v>
      </c>
    </row>
    <row r="27" spans="1:7" ht="16.5" customHeight="1">
      <c r="A27" s="20"/>
      <c r="B27" s="17"/>
      <c r="C27" s="20"/>
      <c r="D27" s="20" t="s">
        <v>517</v>
      </c>
      <c r="E27" s="82">
        <f>SUM(CUW!E63)</f>
        <v>252070</v>
      </c>
      <c r="F27" s="82">
        <f>SUM(CUW!F63)</f>
        <v>210450</v>
      </c>
      <c r="G27" s="23">
        <f t="shared" si="1"/>
        <v>0.83488713452612373</v>
      </c>
    </row>
    <row r="28" spans="1:7" ht="16.5" customHeight="1">
      <c r="A28" s="20"/>
      <c r="B28" s="17"/>
      <c r="C28" s="20"/>
      <c r="D28" s="63" t="s">
        <v>516</v>
      </c>
      <c r="E28" s="82">
        <f>SUM(CUW!E64)</f>
        <v>13700</v>
      </c>
      <c r="F28" s="82">
        <f>SUM(CUW!F64)</f>
        <v>28060</v>
      </c>
      <c r="G28" s="23">
        <f t="shared" si="1"/>
        <v>2.048175182481752</v>
      </c>
    </row>
    <row r="29" spans="1:7" ht="16.5" customHeight="1">
      <c r="A29" s="20"/>
      <c r="B29" s="17"/>
      <c r="C29" s="20"/>
      <c r="D29" s="27" t="s">
        <v>513</v>
      </c>
      <c r="E29" s="82">
        <f>SUM(CUW!E65)</f>
        <v>54800</v>
      </c>
      <c r="F29" s="82">
        <f>SUM(CUW!F65)</f>
        <v>60329</v>
      </c>
      <c r="G29" s="23">
        <f>SUM(F29/E29)</f>
        <v>1.1008941605839415</v>
      </c>
    </row>
    <row r="30" spans="1:7" ht="16.5" customHeight="1">
      <c r="A30" s="20"/>
      <c r="B30" s="17"/>
      <c r="C30" s="20"/>
      <c r="D30" s="63" t="s">
        <v>514</v>
      </c>
      <c r="E30" s="82">
        <f>SUM(CUW!E66)</f>
        <v>123300</v>
      </c>
      <c r="F30" s="82">
        <f>SUM(CUW!F66)</f>
        <v>126270</v>
      </c>
      <c r="G30" s="23">
        <f>SUM(F30/E30)</f>
        <v>1.024087591240876</v>
      </c>
    </row>
    <row r="31" spans="1:7" ht="16.5" customHeight="1">
      <c r="A31" s="20"/>
      <c r="B31" s="17"/>
      <c r="C31" s="20"/>
      <c r="D31" s="63" t="s">
        <v>515</v>
      </c>
      <c r="E31" s="82">
        <f>SUM(CUW!E67)</f>
        <v>79200</v>
      </c>
      <c r="F31" s="82">
        <f>SUM(CUW!F67)</f>
        <v>50508</v>
      </c>
      <c r="G31" s="23">
        <f>SUM(F31/E31)</f>
        <v>0.6377272727272727</v>
      </c>
    </row>
    <row r="32" spans="1:7" ht="16.5" customHeight="1">
      <c r="A32" s="20"/>
      <c r="B32" s="17"/>
      <c r="C32" s="20"/>
      <c r="D32" s="63" t="s">
        <v>534</v>
      </c>
      <c r="E32" s="82">
        <f>SUM(CUW!E68)</f>
        <v>40000</v>
      </c>
      <c r="F32" s="82">
        <f>SUM(CUW!F68)</f>
        <v>53314</v>
      </c>
      <c r="G32" s="23">
        <f>SUM(F32/E32)</f>
        <v>1.3328500000000001</v>
      </c>
    </row>
    <row r="33" spans="1:7" ht="31.5" customHeight="1">
      <c r="A33" s="20"/>
      <c r="B33" s="17"/>
      <c r="C33" s="75">
        <v>2310</v>
      </c>
      <c r="D33" s="75" t="s">
        <v>328</v>
      </c>
      <c r="E33" s="81">
        <f>SUM(E34:E46)</f>
        <v>849700</v>
      </c>
      <c r="F33" s="81">
        <f>SUM(F34:F46)</f>
        <v>1015920</v>
      </c>
      <c r="G33" s="19">
        <f>SUM(F33/E33)</f>
        <v>1.1956219842297282</v>
      </c>
    </row>
    <row r="34" spans="1:7" ht="18.75" customHeight="1">
      <c r="A34" s="20"/>
      <c r="B34" s="17"/>
      <c r="C34" s="75"/>
      <c r="D34" s="27" t="str">
        <f>CUW!D70</f>
        <v xml:space="preserve">Przedszkola niepubliczne w Warszawie           </v>
      </c>
      <c r="E34" s="82">
        <f>CUW!E70</f>
        <v>467495</v>
      </c>
      <c r="F34" s="82">
        <f>CUW!F70</f>
        <v>526800</v>
      </c>
      <c r="G34" s="23">
        <f t="shared" ref="G34:G39" si="2">SUM(F34/E34)</f>
        <v>1.126856971732318</v>
      </c>
    </row>
    <row r="35" spans="1:7" ht="20.25" customHeight="1">
      <c r="A35" s="20"/>
      <c r="B35" s="17"/>
      <c r="C35" s="75"/>
      <c r="D35" s="27" t="str">
        <f>CUW!D71</f>
        <v>Przedszkola niepubliczne w  Pruszkowie</v>
      </c>
      <c r="E35" s="82">
        <f>CUW!E71</f>
        <v>228000</v>
      </c>
      <c r="F35" s="82">
        <f>CUW!F71</f>
        <v>262800</v>
      </c>
      <c r="G35" s="23">
        <f t="shared" si="2"/>
        <v>1.1526315789473685</v>
      </c>
    </row>
    <row r="36" spans="1:7" ht="19.5" customHeight="1">
      <c r="A36" s="20"/>
      <c r="B36" s="17"/>
      <c r="C36" s="75"/>
      <c r="D36" s="27" t="str">
        <f>CUW!D72</f>
        <v>Przedszkola niepubliczne w Piastowie</v>
      </c>
      <c r="E36" s="82">
        <f>CUW!E72</f>
        <v>12960</v>
      </c>
      <c r="F36" s="82">
        <f>CUW!F72</f>
        <v>21600</v>
      </c>
      <c r="G36" s="23">
        <f t="shared" si="2"/>
        <v>1.6666666666666667</v>
      </c>
    </row>
    <row r="37" spans="1:7" ht="21" customHeight="1">
      <c r="A37" s="20"/>
      <c r="B37" s="17"/>
      <c r="C37" s="75"/>
      <c r="D37" s="27" t="str">
        <f>CUW!D73</f>
        <v>Przedszkola niepubliczne w Nadarzynie</v>
      </c>
      <c r="E37" s="82">
        <f>CUW!E73</f>
        <v>30240</v>
      </c>
      <c r="F37" s="82">
        <f>CUW!F73</f>
        <v>92160</v>
      </c>
      <c r="G37" s="23">
        <f t="shared" si="2"/>
        <v>3.0476190476190474</v>
      </c>
    </row>
    <row r="38" spans="1:7" ht="19.5" customHeight="1">
      <c r="A38" s="20"/>
      <c r="B38" s="17"/>
      <c r="C38" s="75"/>
      <c r="D38" s="27" t="str">
        <f>CUW!D74</f>
        <v>Przedszkola niepubliczne w Brwinowie</v>
      </c>
      <c r="E38" s="82">
        <f>CUW!E74</f>
        <v>32640</v>
      </c>
      <c r="F38" s="82">
        <f>CUW!F74</f>
        <v>33120</v>
      </c>
      <c r="G38" s="23">
        <f t="shared" si="2"/>
        <v>1.0147058823529411</v>
      </c>
    </row>
    <row r="39" spans="1:7" ht="16.5" customHeight="1">
      <c r="A39" s="20"/>
      <c r="B39" s="17"/>
      <c r="C39" s="75"/>
      <c r="D39" s="27" t="str">
        <f>CUW!D75</f>
        <v xml:space="preserve">Przedszkola niepubliczne w  Raszynie          </v>
      </c>
      <c r="E39" s="82">
        <f>CUW!E75</f>
        <v>38240</v>
      </c>
      <c r="F39" s="82">
        <f>CUW!F75</f>
        <v>54600</v>
      </c>
      <c r="G39" s="23">
        <f t="shared" si="2"/>
        <v>1.4278242677824269</v>
      </c>
    </row>
    <row r="40" spans="1:7" ht="16.5" customHeight="1">
      <c r="A40" s="20"/>
      <c r="B40" s="17"/>
      <c r="C40" s="75"/>
      <c r="D40" s="27" t="str">
        <f>CUW!D76</f>
        <v>Przedszkola niepubliczne w Milanówku</v>
      </c>
      <c r="E40" s="82">
        <f>CUW!E76</f>
        <v>5400</v>
      </c>
      <c r="F40" s="82">
        <f>CUW!F76</f>
        <v>0</v>
      </c>
      <c r="G40" s="23">
        <f t="shared" ref="G40:G59" si="3">SUM(F40/E40)</f>
        <v>0</v>
      </c>
    </row>
    <row r="41" spans="1:7" ht="16.5" customHeight="1">
      <c r="A41" s="20"/>
      <c r="B41" s="17"/>
      <c r="C41" s="75"/>
      <c r="D41" s="27" t="str">
        <f>CUW!D77</f>
        <v>Przedszkola niepubliczne w Grodzisku Mazowieckim</v>
      </c>
      <c r="E41" s="82">
        <f>CUW!E77</f>
        <v>12000</v>
      </c>
      <c r="F41" s="82">
        <f>CUW!F77</f>
        <v>6000</v>
      </c>
      <c r="G41" s="23">
        <f t="shared" si="3"/>
        <v>0.5</v>
      </c>
    </row>
    <row r="42" spans="1:7" ht="16.5" customHeight="1">
      <c r="A42" s="20"/>
      <c r="B42" s="17"/>
      <c r="C42" s="75"/>
      <c r="D42" s="27" t="str">
        <f>CUW!D78</f>
        <v>Przedszkola niepubliczne w Ożarowie Mazowieckim</v>
      </c>
      <c r="E42" s="82">
        <f>CUW!E78</f>
        <v>7500</v>
      </c>
      <c r="F42" s="82">
        <f>CUW!F78</f>
        <v>15000</v>
      </c>
      <c r="G42" s="23">
        <f t="shared" si="3"/>
        <v>2</v>
      </c>
    </row>
    <row r="43" spans="1:7" ht="16.5" customHeight="1">
      <c r="A43" s="20"/>
      <c r="B43" s="17"/>
      <c r="C43" s="75"/>
      <c r="D43" s="27" t="str">
        <f>CUW!D79</f>
        <v>Przedszkola niepubliczne w Piasecznie</v>
      </c>
      <c r="E43" s="82">
        <f>CUW!E79</f>
        <v>7680</v>
      </c>
      <c r="F43" s="82">
        <f>CUW!F79</f>
        <v>0</v>
      </c>
      <c r="G43" s="23">
        <f t="shared" si="3"/>
        <v>0</v>
      </c>
    </row>
    <row r="44" spans="1:7" ht="16.5" customHeight="1">
      <c r="A44" s="20"/>
      <c r="B44" s="17"/>
      <c r="C44" s="75"/>
      <c r="D44" s="27" t="str">
        <f>CUW!D80</f>
        <v>Przedszkola niepubliczne w Lesznowoli</v>
      </c>
      <c r="E44" s="82">
        <f>CUW!E80</f>
        <v>705</v>
      </c>
      <c r="F44" s="82">
        <f>CUW!F80</f>
        <v>0</v>
      </c>
      <c r="G44" s="23">
        <f t="shared" si="3"/>
        <v>0</v>
      </c>
    </row>
    <row r="45" spans="1:7" ht="16.5" customHeight="1">
      <c r="A45" s="20"/>
      <c r="B45" s="17"/>
      <c r="C45" s="75"/>
      <c r="D45" s="27" t="str">
        <f>CUW!D81</f>
        <v>Przedszkola niepubliczne w Podkowie Leśnej</v>
      </c>
      <c r="E45" s="82">
        <f>CUW!E81</f>
        <v>6840</v>
      </c>
      <c r="F45" s="82">
        <f>CUW!F81</f>
        <v>0</v>
      </c>
      <c r="G45" s="23">
        <f t="shared" si="3"/>
        <v>0</v>
      </c>
    </row>
    <row r="46" spans="1:7" ht="16.5" customHeight="1">
      <c r="A46" s="20"/>
      <c r="B46" s="17"/>
      <c r="C46" s="75"/>
      <c r="D46" s="27" t="str">
        <f>CUW!D82</f>
        <v>Nauka języka ukraińskiego przy szkole nr 221 w Warszawie</v>
      </c>
      <c r="E46" s="82">
        <f>CUW!E82</f>
        <v>0</v>
      </c>
      <c r="F46" s="82">
        <f>CUW!F82</f>
        <v>3840</v>
      </c>
      <c r="G46" s="23" t="e">
        <f t="shared" si="3"/>
        <v>#DIV/0!</v>
      </c>
    </row>
    <row r="47" spans="1:7" ht="29.45" customHeight="1">
      <c r="A47" s="20"/>
      <c r="B47" s="17"/>
      <c r="C47" s="75">
        <v>4330</v>
      </c>
      <c r="D47" s="75" t="s">
        <v>316</v>
      </c>
      <c r="E47" s="81">
        <f>E48</f>
        <v>20000</v>
      </c>
      <c r="F47" s="151">
        <f>F48</f>
        <v>80000</v>
      </c>
      <c r="G47" s="19">
        <f t="shared" si="3"/>
        <v>4</v>
      </c>
    </row>
    <row r="48" spans="1:7" ht="21" customHeight="1">
      <c r="A48" s="20"/>
      <c r="B48" s="17"/>
      <c r="C48" s="20"/>
      <c r="D48" s="27" t="s">
        <v>4</v>
      </c>
      <c r="E48" s="82">
        <f>CUW!E84</f>
        <v>20000</v>
      </c>
      <c r="F48" s="82">
        <f>SUM(CUW!F84)</f>
        <v>80000</v>
      </c>
      <c r="G48" s="23">
        <f t="shared" si="3"/>
        <v>4</v>
      </c>
    </row>
    <row r="49" spans="1:11" ht="16.5" customHeight="1">
      <c r="A49" s="740" t="s">
        <v>128</v>
      </c>
      <c r="B49" s="753"/>
      <c r="C49" s="753"/>
      <c r="D49" s="754"/>
      <c r="E49" s="84">
        <f>SUM(E12+E33+E47)</f>
        <v>4778243</v>
      </c>
      <c r="F49" s="84">
        <f>SUM(F12+F33+F47)</f>
        <v>5260133</v>
      </c>
      <c r="G49" s="26">
        <f t="shared" si="3"/>
        <v>1.1008508776133821</v>
      </c>
      <c r="I49" s="80"/>
      <c r="J49" s="761"/>
      <c r="K49" s="761"/>
    </row>
    <row r="50" spans="1:11" ht="18.75" customHeight="1">
      <c r="A50" s="34">
        <v>801</v>
      </c>
      <c r="B50" s="31">
        <v>80106</v>
      </c>
      <c r="C50" s="30">
        <v>2540</v>
      </c>
      <c r="D50" s="90" t="s">
        <v>415</v>
      </c>
      <c r="E50" s="81">
        <f>SUM(E51:E68)</f>
        <v>426377</v>
      </c>
      <c r="F50" s="81">
        <f>SUM(F51:F68)</f>
        <v>453795</v>
      </c>
      <c r="G50" s="19">
        <f t="shared" si="3"/>
        <v>1.0643045942909679</v>
      </c>
      <c r="I50" s="79"/>
    </row>
    <row r="51" spans="1:11" ht="15" customHeight="1">
      <c r="A51" s="34"/>
      <c r="B51" s="31"/>
      <c r="C51" s="31"/>
      <c r="D51" s="33" t="str">
        <f>CUW!D87</f>
        <v>Punk Przedszkolny "Antoś" w Michałowicach</v>
      </c>
      <c r="E51" s="83">
        <f>CUW!E87</f>
        <v>87480</v>
      </c>
      <c r="F51" s="83">
        <f>CUW!F87</f>
        <v>112114</v>
      </c>
      <c r="G51" s="105">
        <f t="shared" si="3"/>
        <v>1.2815957933241884</v>
      </c>
    </row>
    <row r="52" spans="1:11">
      <c r="A52" s="34"/>
      <c r="B52" s="31"/>
      <c r="C52" s="31"/>
      <c r="D52" s="33" t="str">
        <f>CUW!D88</f>
        <v>Punk Przedszkolny "Misie Patysie" w Nowej Wsi</v>
      </c>
      <c r="E52" s="83">
        <f>CUW!E88</f>
        <v>67250</v>
      </c>
      <c r="F52" s="83">
        <f>CUW!F88</f>
        <v>80081</v>
      </c>
      <c r="G52" s="23">
        <f t="shared" si="3"/>
        <v>1.1907955390334573</v>
      </c>
    </row>
    <row r="53" spans="1:11">
      <c r="A53" s="34"/>
      <c r="B53" s="31"/>
      <c r="C53" s="31"/>
      <c r="D53" s="33" t="str">
        <f>CUW!D89</f>
        <v>Punk Przedszkolny Integracyjny "Słoneczna Kraina" w Nowej Wsi</v>
      </c>
      <c r="E53" s="83">
        <f>CUW!E89</f>
        <v>69063</v>
      </c>
      <c r="F53" s="83">
        <f>CUW!F89</f>
        <v>53388</v>
      </c>
      <c r="G53" s="23">
        <f t="shared" si="3"/>
        <v>0.7730333174058468</v>
      </c>
    </row>
    <row r="54" spans="1:11" ht="15" customHeight="1">
      <c r="A54" s="34"/>
      <c r="B54" s="31"/>
      <c r="C54" s="31"/>
      <c r="D54" s="33" t="str">
        <f>CUW!D90</f>
        <v>Punk Przedszkolny "Słoneczna Kraina" w Komorowie</v>
      </c>
      <c r="E54" s="83">
        <f>CUW!E90</f>
        <v>69063</v>
      </c>
      <c r="F54" s="83">
        <f>CUW!F90</f>
        <v>48049</v>
      </c>
      <c r="G54" s="105">
        <f t="shared" si="3"/>
        <v>0.69572708975862618</v>
      </c>
    </row>
    <row r="55" spans="1:11">
      <c r="A55" s="34"/>
      <c r="B55" s="31"/>
      <c r="C55" s="31"/>
      <c r="D55" s="33" t="str">
        <f>CUW!D91</f>
        <v>Punk Przedszkolny "Adaś" w Michałowicach</v>
      </c>
      <c r="E55" s="83">
        <f>CUW!E91</f>
        <v>78271</v>
      </c>
      <c r="F55" s="83">
        <f>CUW!F91</f>
        <v>96098</v>
      </c>
      <c r="G55" s="105">
        <f t="shared" si="3"/>
        <v>1.2277599621826729</v>
      </c>
    </row>
    <row r="56" spans="1:11">
      <c r="A56" s="34"/>
      <c r="B56" s="31"/>
      <c r="C56" s="31"/>
      <c r="D56" s="33" t="str">
        <f>CUW!D92</f>
        <v>Punkt Przedszkolny inspirowany pedagogiką Waldorfską w Komorowie</v>
      </c>
      <c r="E56" s="83">
        <f>CUW!E92</f>
        <v>55250</v>
      </c>
      <c r="F56" s="83">
        <f>CUW!F92</f>
        <v>64065</v>
      </c>
      <c r="G56" s="23">
        <f t="shared" si="3"/>
        <v>1.1595475113122171</v>
      </c>
    </row>
    <row r="57" spans="1:11" hidden="1">
      <c r="A57" s="34"/>
      <c r="B57" s="31"/>
      <c r="C57" s="31"/>
      <c r="D57" s="33" t="str">
        <f>CUW!D93</f>
        <v xml:space="preserve">Punk przedszkolny terapeutyczny "Pierwsze kroki" w Regułach </v>
      </c>
      <c r="E57" s="83">
        <f>CUW!E93</f>
        <v>0</v>
      </c>
      <c r="F57" s="83">
        <f>CUW!F93</f>
        <v>0</v>
      </c>
      <c r="G57" s="105" t="e">
        <f t="shared" si="3"/>
        <v>#DIV/0!</v>
      </c>
    </row>
    <row r="58" spans="1:11" hidden="1">
      <c r="A58" s="34"/>
      <c r="B58" s="31"/>
      <c r="C58" s="31"/>
      <c r="D58" s="33" t="str">
        <f>CUW!D94</f>
        <v>Punk Przedszkolny "Antoś" w Michałowicach - dotacja</v>
      </c>
      <c r="E58" s="83">
        <f>CUW!E94</f>
        <v>0</v>
      </c>
      <c r="F58" s="83">
        <f>CUW!F94</f>
        <v>0</v>
      </c>
      <c r="G58" s="105" t="e">
        <f t="shared" si="3"/>
        <v>#DIV/0!</v>
      </c>
    </row>
    <row r="59" spans="1:11" hidden="1">
      <c r="A59" s="34"/>
      <c r="B59" s="31"/>
      <c r="C59" s="31"/>
      <c r="D59" s="33" t="s">
        <v>562</v>
      </c>
      <c r="E59" s="83">
        <f>CUW!E93</f>
        <v>0</v>
      </c>
      <c r="F59" s="83">
        <f>CUW!F93</f>
        <v>0</v>
      </c>
      <c r="G59" s="105" t="e">
        <f t="shared" si="3"/>
        <v>#DIV/0!</v>
      </c>
    </row>
    <row r="60" spans="1:11" hidden="1">
      <c r="A60" s="34"/>
      <c r="B60" s="31"/>
      <c r="C60" s="31"/>
      <c r="D60" s="33" t="s">
        <v>519</v>
      </c>
      <c r="E60" s="83">
        <f>CUW!E94</f>
        <v>0</v>
      </c>
      <c r="F60" s="83">
        <f>CUW!F94</f>
        <v>0</v>
      </c>
      <c r="G60" s="105" t="e">
        <f t="shared" ref="G60:G75" si="4">SUM(F60/E60)</f>
        <v>#DIV/0!</v>
      </c>
    </row>
    <row r="61" spans="1:11" hidden="1">
      <c r="A61" s="34"/>
      <c r="B61" s="31"/>
      <c r="C61" s="31"/>
      <c r="D61" s="27" t="s">
        <v>520</v>
      </c>
      <c r="E61" s="83">
        <f>CUW!E95</f>
        <v>0</v>
      </c>
      <c r="F61" s="83">
        <f>CUW!F95</f>
        <v>0</v>
      </c>
      <c r="G61" s="105" t="e">
        <f t="shared" si="4"/>
        <v>#DIV/0!</v>
      </c>
    </row>
    <row r="62" spans="1:11" hidden="1">
      <c r="A62" s="34"/>
      <c r="B62" s="31"/>
      <c r="C62" s="31"/>
      <c r="D62" s="27" t="s">
        <v>521</v>
      </c>
      <c r="E62" s="83">
        <f>CUW!E96</f>
        <v>0</v>
      </c>
      <c r="F62" s="83">
        <f>CUW!F96</f>
        <v>0</v>
      </c>
      <c r="G62" s="105" t="e">
        <f t="shared" si="4"/>
        <v>#DIV/0!</v>
      </c>
    </row>
    <row r="63" spans="1:11" hidden="1">
      <c r="A63" s="34"/>
      <c r="B63" s="31"/>
      <c r="C63" s="31"/>
      <c r="D63" s="27" t="s">
        <v>522</v>
      </c>
      <c r="E63" s="83">
        <f>CUW!E97</f>
        <v>0</v>
      </c>
      <c r="F63" s="83">
        <f>CUW!F97</f>
        <v>0</v>
      </c>
      <c r="G63" s="105" t="e">
        <f t="shared" si="4"/>
        <v>#DIV/0!</v>
      </c>
    </row>
    <row r="64" spans="1:11" hidden="1">
      <c r="A64" s="34"/>
      <c r="B64" s="31"/>
      <c r="C64" s="31"/>
      <c r="D64" s="27" t="s">
        <v>523</v>
      </c>
      <c r="E64" s="83">
        <f>CUW!E98</f>
        <v>0</v>
      </c>
      <c r="F64" s="83">
        <f>CUW!F98</f>
        <v>0</v>
      </c>
      <c r="G64" s="105" t="e">
        <f t="shared" si="4"/>
        <v>#DIV/0!</v>
      </c>
    </row>
    <row r="65" spans="1:9" hidden="1">
      <c r="A65" s="34"/>
      <c r="B65" s="31"/>
      <c r="C65" s="31"/>
      <c r="D65" s="63" t="s">
        <v>524</v>
      </c>
      <c r="E65" s="83">
        <f>CUW!E99</f>
        <v>0</v>
      </c>
      <c r="F65" s="83">
        <f>CUW!F99</f>
        <v>0</v>
      </c>
      <c r="G65" s="105" t="e">
        <f t="shared" si="4"/>
        <v>#DIV/0!</v>
      </c>
    </row>
    <row r="66" spans="1:9" hidden="1">
      <c r="A66" s="34"/>
      <c r="B66" s="31"/>
      <c r="C66" s="31"/>
      <c r="D66" s="33" t="s">
        <v>525</v>
      </c>
      <c r="E66" s="83">
        <f>CUW!E100</f>
        <v>0</v>
      </c>
      <c r="F66" s="83">
        <f>CUW!F100</f>
        <v>0</v>
      </c>
      <c r="G66" s="105" t="e">
        <f t="shared" si="4"/>
        <v>#DIV/0!</v>
      </c>
    </row>
    <row r="67" spans="1:9" hidden="1">
      <c r="A67" s="34"/>
      <c r="B67" s="31"/>
      <c r="C67" s="31"/>
      <c r="D67" s="33" t="s">
        <v>563</v>
      </c>
      <c r="E67" s="83">
        <f>CUW!E101</f>
        <v>0</v>
      </c>
      <c r="F67" s="83">
        <f>CUW!F101</f>
        <v>0</v>
      </c>
      <c r="G67" s="105" t="e">
        <f t="shared" si="4"/>
        <v>#DIV/0!</v>
      </c>
    </row>
    <row r="68" spans="1:9" hidden="1">
      <c r="A68" s="34"/>
      <c r="B68" s="31"/>
      <c r="C68" s="31"/>
      <c r="D68" s="33" t="s">
        <v>564</v>
      </c>
      <c r="E68" s="83">
        <f>CUW!E102</f>
        <v>0</v>
      </c>
      <c r="F68" s="83">
        <f>CUW!F102</f>
        <v>0</v>
      </c>
      <c r="G68" s="105" t="e">
        <f t="shared" si="4"/>
        <v>#DIV/0!</v>
      </c>
    </row>
    <row r="69" spans="1:9" ht="30">
      <c r="A69" s="34"/>
      <c r="B69" s="31"/>
      <c r="C69" s="75">
        <v>2310</v>
      </c>
      <c r="D69" s="75" t="s">
        <v>328</v>
      </c>
      <c r="E69" s="81">
        <f>SUM(E70:E74)</f>
        <v>65760</v>
      </c>
      <c r="F69" s="81">
        <f>SUM(F70:F74)</f>
        <v>68520</v>
      </c>
      <c r="G69" s="69">
        <f t="shared" si="4"/>
        <v>1.0419708029197081</v>
      </c>
    </row>
    <row r="70" spans="1:9">
      <c r="A70" s="34"/>
      <c r="B70" s="31"/>
      <c r="C70" s="31"/>
      <c r="D70" s="33" t="str">
        <f>CUW!D104</f>
        <v>Punkty przedszkolne w Warszawie</v>
      </c>
      <c r="E70" s="140">
        <f>CUW!E104</f>
        <v>21600</v>
      </c>
      <c r="F70" s="140">
        <f>CUW!F104</f>
        <v>22800</v>
      </c>
      <c r="G70" s="105">
        <f t="shared" si="4"/>
        <v>1.0555555555555556</v>
      </c>
    </row>
    <row r="71" spans="1:9">
      <c r="A71" s="34"/>
      <c r="B71" s="31"/>
      <c r="C71" s="31"/>
      <c r="D71" s="33" t="str">
        <f>CUW!D105</f>
        <v xml:space="preserve">Punkty przedszkolne w Pruszkowie     </v>
      </c>
      <c r="E71" s="140">
        <f>CUW!E105</f>
        <v>24360</v>
      </c>
      <c r="F71" s="140">
        <f>CUW!F105</f>
        <v>18600</v>
      </c>
      <c r="G71" s="105">
        <f t="shared" si="4"/>
        <v>0.76354679802955661</v>
      </c>
    </row>
    <row r="72" spans="1:9">
      <c r="A72" s="34"/>
      <c r="B72" s="31"/>
      <c r="C72" s="31"/>
      <c r="D72" s="33" t="str">
        <f>CUW!D106</f>
        <v>Punkty przedszkolne w Brwinowie</v>
      </c>
      <c r="E72" s="140">
        <f>CUW!E106</f>
        <v>9120</v>
      </c>
      <c r="F72" s="140">
        <f>CUW!F106</f>
        <v>9120</v>
      </c>
      <c r="G72" s="105">
        <f t="shared" si="4"/>
        <v>1</v>
      </c>
    </row>
    <row r="73" spans="1:9">
      <c r="A73" s="34"/>
      <c r="B73" s="31"/>
      <c r="C73" s="31"/>
      <c r="D73" s="33" t="str">
        <f>CUW!D107</f>
        <v>Punkty przedszkolne w Piastowie</v>
      </c>
      <c r="E73" s="140">
        <f>CUW!E107</f>
        <v>6000</v>
      </c>
      <c r="F73" s="140">
        <f>CUW!F107</f>
        <v>7920</v>
      </c>
      <c r="G73" s="105">
        <f t="shared" si="4"/>
        <v>1.32</v>
      </c>
    </row>
    <row r="74" spans="1:9">
      <c r="A74" s="34"/>
      <c r="B74" s="31"/>
      <c r="C74" s="31"/>
      <c r="D74" s="33" t="str">
        <f>CUW!D108</f>
        <v>Punkty przedszkolne w Raszynie</v>
      </c>
      <c r="E74" s="140">
        <f>CUW!E108</f>
        <v>4680</v>
      </c>
      <c r="F74" s="140">
        <f>CUW!F108</f>
        <v>10080</v>
      </c>
      <c r="G74" s="105">
        <f t="shared" si="4"/>
        <v>2.1538461538461537</v>
      </c>
    </row>
    <row r="75" spans="1:9">
      <c r="A75" s="572" t="s">
        <v>433</v>
      </c>
      <c r="B75" s="762"/>
      <c r="C75" s="762"/>
      <c r="D75" s="763"/>
      <c r="E75" s="84">
        <f>E50+E69</f>
        <v>492137</v>
      </c>
      <c r="F75" s="84">
        <f>F50+F69</f>
        <v>522315</v>
      </c>
      <c r="G75" s="26">
        <f t="shared" si="4"/>
        <v>1.0613203234058808</v>
      </c>
      <c r="I75" s="80"/>
    </row>
    <row r="76" spans="1:9">
      <c r="A76" s="758">
        <v>801</v>
      </c>
      <c r="B76" s="758">
        <v>80149</v>
      </c>
      <c r="C76" s="758">
        <v>2540</v>
      </c>
      <c r="D76" s="147" t="s">
        <v>530</v>
      </c>
      <c r="E76" s="81">
        <f>SUM(E77:E87)</f>
        <v>1983438</v>
      </c>
      <c r="F76" s="81">
        <f>SUM(F77:F87)</f>
        <v>2063400</v>
      </c>
      <c r="G76" s="19">
        <f t="shared" ref="G76:G87" si="5">SUM(F76/E76)</f>
        <v>1.0403148472500778</v>
      </c>
      <c r="I76" s="79"/>
    </row>
    <row r="77" spans="1:9">
      <c r="A77" s="759"/>
      <c r="B77" s="759"/>
      <c r="C77" s="759"/>
      <c r="D77" s="36" t="str">
        <f>CUW!D115</f>
        <v xml:space="preserve">Przedszkole Niepubliczne Zgromadzenia Sióstr Misjonarek Świętej Rodziny w Komorowie                </v>
      </c>
      <c r="E77" s="83">
        <f>CUW!E115</f>
        <v>22622</v>
      </c>
      <c r="F77" s="83">
        <f>CUW!F115</f>
        <v>19920</v>
      </c>
      <c r="G77" s="105">
        <f t="shared" si="5"/>
        <v>0.88055874812129786</v>
      </c>
      <c r="I77" s="79"/>
    </row>
    <row r="78" spans="1:9">
      <c r="A78" s="759"/>
      <c r="B78" s="759"/>
      <c r="C78" s="759"/>
      <c r="D78" s="36" t="str">
        <f>CUW!D116</f>
        <v xml:space="preserve">Przedszkole Niepubliczne Sióstr Służebniczek w Komorowie                </v>
      </c>
      <c r="E78" s="83">
        <f>CUW!E116</f>
        <v>51173</v>
      </c>
      <c r="F78" s="83">
        <f>CUW!F116</f>
        <v>0</v>
      </c>
      <c r="G78" s="105">
        <f t="shared" si="5"/>
        <v>0</v>
      </c>
      <c r="I78" s="79"/>
    </row>
    <row r="79" spans="1:9">
      <c r="A79" s="759"/>
      <c r="B79" s="759"/>
      <c r="C79" s="759"/>
      <c r="D79" s="36" t="str">
        <f>CUW!D117</f>
        <v>Punk Przedszkolny "Antoś" w Michałowicach</v>
      </c>
      <c r="E79" s="83">
        <f>CUW!E117</f>
        <v>271484</v>
      </c>
      <c r="F79" s="83">
        <f>CUW!F117</f>
        <v>208800</v>
      </c>
      <c r="G79" s="105">
        <f t="shared" si="5"/>
        <v>0.76910609833360344</v>
      </c>
      <c r="I79" s="79"/>
    </row>
    <row r="80" spans="1:9">
      <c r="A80" s="759"/>
      <c r="B80" s="759"/>
      <c r="C80" s="759"/>
      <c r="D80" s="36" t="str">
        <f>CUW!D118</f>
        <v>Punk Przedszkolny Integracyjny "Słoneczna Kraina" w Nowej Wsi</v>
      </c>
      <c r="E80" s="83">
        <f>CUW!E118</f>
        <v>224082</v>
      </c>
      <c r="F80" s="83">
        <f>CUW!F118</f>
        <v>383640</v>
      </c>
      <c r="G80" s="23">
        <f t="shared" si="5"/>
        <v>1.7120518381663856</v>
      </c>
      <c r="I80" s="79"/>
    </row>
    <row r="81" spans="1:10">
      <c r="A81" s="759"/>
      <c r="B81" s="759"/>
      <c r="C81" s="759"/>
      <c r="D81" s="36" t="str">
        <f>CUW!D119</f>
        <v>Punk Przedszkolny "Słoneczna Kraina" w Komorowie</v>
      </c>
      <c r="E81" s="83">
        <f>CUW!E119</f>
        <v>358208</v>
      </c>
      <c r="F81" s="83">
        <f>CUW!F119</f>
        <v>388200</v>
      </c>
      <c r="G81" s="23">
        <f t="shared" si="5"/>
        <v>1.0837278899410399</v>
      </c>
      <c r="I81" s="79"/>
    </row>
    <row r="82" spans="1:10">
      <c r="A82" s="759"/>
      <c r="B82" s="759"/>
      <c r="C82" s="759"/>
      <c r="D82" s="36" t="str">
        <f>CUW!D120</f>
        <v>Punk Przedszkolny "Adaś" w Michałowicach</v>
      </c>
      <c r="E82" s="83">
        <f>CUW!E120</f>
        <v>358208</v>
      </c>
      <c r="F82" s="83">
        <f>CUW!F120</f>
        <v>299160</v>
      </c>
      <c r="G82" s="23">
        <f t="shared" si="5"/>
        <v>0.83515722708593887</v>
      </c>
      <c r="I82" s="79"/>
    </row>
    <row r="83" spans="1:10">
      <c r="A83" s="759"/>
      <c r="B83" s="759"/>
      <c r="C83" s="759"/>
      <c r="D83" s="36" t="str">
        <f>CUW!D121</f>
        <v>Punkt Przedszkolny inspirowany pedagogiką Waldorfską w Komorowie</v>
      </c>
      <c r="E83" s="83">
        <f>CUW!E121</f>
        <v>49009</v>
      </c>
      <c r="F83" s="83">
        <f>CUW!F121</f>
        <v>0</v>
      </c>
      <c r="G83" s="23">
        <f t="shared" si="5"/>
        <v>0</v>
      </c>
      <c r="I83" s="79"/>
    </row>
    <row r="84" spans="1:10">
      <c r="A84" s="759"/>
      <c r="B84" s="759"/>
      <c r="C84" s="759"/>
      <c r="D84" s="36" t="str">
        <f>CUW!D122</f>
        <v xml:space="preserve">Punk przedszkolny terapeutyczny "Pierwsze kroki" w Regułach </v>
      </c>
      <c r="E84" s="83">
        <f>CUW!E122</f>
        <v>511726</v>
      </c>
      <c r="F84" s="83">
        <f>CUW!F122</f>
        <v>649200</v>
      </c>
      <c r="G84" s="23">
        <f t="shared" si="5"/>
        <v>1.2686476747321809</v>
      </c>
      <c r="I84" s="79"/>
    </row>
    <row r="85" spans="1:10">
      <c r="A85" s="759"/>
      <c r="B85" s="759"/>
      <c r="C85" s="759"/>
      <c r="D85" s="36" t="str">
        <f>CUW!D123</f>
        <v>Przedszkole NiepubliczneZielone Przedszkole w Komorowie</v>
      </c>
      <c r="E85" s="83">
        <f>CUW!E123</f>
        <v>61753</v>
      </c>
      <c r="F85" s="83">
        <f>CUW!F123</f>
        <v>57240</v>
      </c>
      <c r="G85" s="23">
        <f t="shared" si="5"/>
        <v>0.92691853027383286</v>
      </c>
      <c r="I85" s="79"/>
    </row>
    <row r="86" spans="1:10">
      <c r="A86" s="759"/>
      <c r="B86" s="759"/>
      <c r="C86" s="759"/>
      <c r="D86" s="36" t="str">
        <f>CUW!D124</f>
        <v>Przedszkole Dobre Przedszkole w Komorowie</v>
      </c>
      <c r="E86" s="83">
        <f>CUW!E124</f>
        <v>51173</v>
      </c>
      <c r="F86" s="83">
        <f>CUW!F124</f>
        <v>0</v>
      </c>
      <c r="G86" s="23">
        <f t="shared" si="5"/>
        <v>0</v>
      </c>
      <c r="I86" s="79"/>
    </row>
    <row r="87" spans="1:10">
      <c r="A87" s="759"/>
      <c r="B87" s="759"/>
      <c r="C87" s="759"/>
      <c r="D87" s="36" t="str">
        <f>CUW!D125</f>
        <v xml:space="preserve">Prywatne niepubliczne przedszkole w Michałowicach            </v>
      </c>
      <c r="E87" s="83">
        <f>CUW!E125</f>
        <v>24000</v>
      </c>
      <c r="F87" s="83">
        <f>CUW!F125</f>
        <v>57240</v>
      </c>
      <c r="G87" s="23">
        <f t="shared" si="5"/>
        <v>2.3849999999999998</v>
      </c>
      <c r="I87" s="79"/>
    </row>
    <row r="88" spans="1:10" ht="25.5" customHeight="1">
      <c r="A88" s="501" t="s">
        <v>462</v>
      </c>
      <c r="B88" s="502"/>
      <c r="C88" s="503"/>
      <c r="D88" s="504"/>
      <c r="E88" s="84">
        <f>E76</f>
        <v>1983438</v>
      </c>
      <c r="F88" s="84">
        <f>F76</f>
        <v>2063400</v>
      </c>
      <c r="G88" s="26">
        <f>SUM(F88/E88)</f>
        <v>1.0403148472500778</v>
      </c>
      <c r="I88" s="80"/>
    </row>
    <row r="89" spans="1:10">
      <c r="A89" s="748" t="s">
        <v>49</v>
      </c>
      <c r="B89" s="749"/>
      <c r="C89" s="749"/>
      <c r="D89" s="749"/>
      <c r="E89" s="84">
        <f>SUM(E5+E11+E49+E75+E88)</f>
        <v>7276398</v>
      </c>
      <c r="F89" s="84">
        <f>SUM(F5+F11+F49+F75+F88)</f>
        <v>7885628</v>
      </c>
      <c r="G89" s="26">
        <f>SUM(F89/E89)</f>
        <v>1.0837268659575796</v>
      </c>
      <c r="H89" s="39"/>
      <c r="I89" s="79"/>
      <c r="J89" s="79"/>
    </row>
    <row r="90" spans="1:10" ht="14.25" customHeight="1">
      <c r="A90" s="757">
        <v>854</v>
      </c>
      <c r="B90" s="757">
        <v>85404</v>
      </c>
      <c r="C90" s="30">
        <v>2540</v>
      </c>
      <c r="D90" s="147" t="s">
        <v>415</v>
      </c>
      <c r="E90" s="81">
        <f>SUM(E91:E98)</f>
        <v>200611</v>
      </c>
      <c r="F90" s="81">
        <f>SUM(F91:F98)</f>
        <v>285480</v>
      </c>
      <c r="G90" s="115">
        <f t="shared" ref="G90:G116" si="6">SUM(F90/E90)</f>
        <v>1.4230525743852531</v>
      </c>
      <c r="I90" s="80"/>
    </row>
    <row r="91" spans="1:10" ht="14.25" customHeight="1">
      <c r="A91" s="757"/>
      <c r="B91" s="757"/>
      <c r="C91" s="757"/>
      <c r="D91" s="161" t="str">
        <f>CUW!D148</f>
        <v>Punkt przedszkolny integracyjny "Słoneczna Kraina" w Nowej Wsi</v>
      </c>
      <c r="E91" s="82">
        <f>CUW!E148</f>
        <v>27149</v>
      </c>
      <c r="F91" s="82">
        <f>CUW!F148</f>
        <v>46800</v>
      </c>
      <c r="G91" s="23">
        <f t="shared" si="6"/>
        <v>1.7238203985413827</v>
      </c>
      <c r="I91" s="80"/>
    </row>
    <row r="92" spans="1:10" ht="14.25" customHeight="1">
      <c r="A92" s="757"/>
      <c r="B92" s="757"/>
      <c r="C92" s="757"/>
      <c r="D92" s="161" t="str">
        <f>CUW!D149</f>
        <v>Punkt przedszkolny "Słoneczna Kraina" w Komorowie</v>
      </c>
      <c r="E92" s="82">
        <f>CUW!E149</f>
        <v>27149</v>
      </c>
      <c r="F92" s="82">
        <f>CUW!F149</f>
        <v>46800</v>
      </c>
      <c r="G92" s="23">
        <f t="shared" si="6"/>
        <v>1.7238203985413827</v>
      </c>
      <c r="I92" s="80"/>
    </row>
    <row r="93" spans="1:10" ht="14.25" customHeight="1">
      <c r="A93" s="757"/>
      <c r="B93" s="757"/>
      <c r="C93" s="757"/>
      <c r="D93" s="161" t="str">
        <f>CUW!D150</f>
        <v>Punk Przedszkolny "Antoś" w Michałowicach</v>
      </c>
      <c r="E93" s="82">
        <f>CUW!E150</f>
        <v>67871</v>
      </c>
      <c r="F93" s="82">
        <f>CUW!F150</f>
        <v>60840</v>
      </c>
      <c r="G93" s="23">
        <f t="shared" si="6"/>
        <v>0.89640641805778609</v>
      </c>
      <c r="I93" s="80"/>
    </row>
    <row r="94" spans="1:10" ht="14.25" customHeight="1">
      <c r="A94" s="757"/>
      <c r="B94" s="757"/>
      <c r="C94" s="757"/>
      <c r="D94" s="161" t="str">
        <f>CUW!D151</f>
        <v>Punk Przedszkolny "Adaś" w Michałowicach</v>
      </c>
      <c r="E94" s="82">
        <f>CUW!E151</f>
        <v>23599</v>
      </c>
      <c r="F94" s="82">
        <f>CUW!F151</f>
        <v>93600</v>
      </c>
      <c r="G94" s="23">
        <f t="shared" si="6"/>
        <v>3.9662697571931016</v>
      </c>
      <c r="I94" s="80"/>
    </row>
    <row r="95" spans="1:10" ht="14.25" customHeight="1">
      <c r="A95" s="757"/>
      <c r="B95" s="757"/>
      <c r="C95" s="757"/>
      <c r="D95" s="161" t="str">
        <f>CUW!D152</f>
        <v>Punk Przedszkolny Pierwsze Kroki w Regułach</v>
      </c>
      <c r="E95" s="82">
        <f>CUW!E152</f>
        <v>45248</v>
      </c>
      <c r="F95" s="82">
        <f>CUW!F152</f>
        <v>32760</v>
      </c>
      <c r="G95" s="23">
        <f t="shared" si="6"/>
        <v>0.72400990099009899</v>
      </c>
      <c r="I95" s="80"/>
    </row>
    <row r="96" spans="1:10" ht="14.25" customHeight="1">
      <c r="A96" s="757"/>
      <c r="B96" s="757"/>
      <c r="C96" s="757"/>
      <c r="D96" s="161" t="str">
        <f>CUW!D153</f>
        <v xml:space="preserve">Przedszkole Niepubliczne Sióstr Służebniczek NMP w Komorowie            </v>
      </c>
      <c r="E96" s="82">
        <f>CUW!E153</f>
        <v>4525</v>
      </c>
      <c r="F96" s="82">
        <f>CUW!F153</f>
        <v>0</v>
      </c>
      <c r="G96" s="23">
        <f t="shared" si="6"/>
        <v>0</v>
      </c>
      <c r="I96" s="80"/>
    </row>
    <row r="97" spans="1:9" ht="14.25" customHeight="1">
      <c r="A97" s="757"/>
      <c r="B97" s="757"/>
      <c r="C97" s="757"/>
      <c r="D97" s="161" t="str">
        <f>CUW!D154</f>
        <v xml:space="preserve">Przedszkole Niepubliczne  Zielone Przedszkole w Granicy            </v>
      </c>
      <c r="E97" s="82">
        <f>CUW!E154</f>
        <v>3070</v>
      </c>
      <c r="F97" s="82">
        <f>CUW!F154</f>
        <v>0</v>
      </c>
      <c r="G97" s="23">
        <f t="shared" si="6"/>
        <v>0</v>
      </c>
      <c r="I97" s="80"/>
    </row>
    <row r="98" spans="1:9" ht="14.25" customHeight="1">
      <c r="A98" s="757"/>
      <c r="B98" s="757"/>
      <c r="C98" s="757"/>
      <c r="D98" s="161" t="str">
        <f>CUW!D155</f>
        <v xml:space="preserve">Prywatne przedszkole w Michałowicach       </v>
      </c>
      <c r="E98" s="82">
        <f>CUW!E155</f>
        <v>2000</v>
      </c>
      <c r="F98" s="82">
        <f>CUW!F155</f>
        <v>4680</v>
      </c>
      <c r="G98" s="23">
        <f t="shared" si="6"/>
        <v>2.34</v>
      </c>
      <c r="I98" s="80"/>
    </row>
    <row r="99" spans="1:9" ht="14.25" customHeight="1">
      <c r="A99" s="740" t="s">
        <v>531</v>
      </c>
      <c r="B99" s="755"/>
      <c r="C99" s="755"/>
      <c r="D99" s="756"/>
      <c r="E99" s="84">
        <f>E90</f>
        <v>200611</v>
      </c>
      <c r="F99" s="84">
        <f>F90</f>
        <v>285480</v>
      </c>
      <c r="G99" s="26">
        <f t="shared" si="6"/>
        <v>1.4230525743852531</v>
      </c>
      <c r="I99" s="80"/>
    </row>
    <row r="100" spans="1:9">
      <c r="A100" s="748" t="s">
        <v>436</v>
      </c>
      <c r="B100" s="749"/>
      <c r="C100" s="749"/>
      <c r="D100" s="749"/>
      <c r="E100" s="84">
        <f>SUM(E99)</f>
        <v>200611</v>
      </c>
      <c r="F100" s="84">
        <f>SUM(F99)</f>
        <v>285480</v>
      </c>
      <c r="G100" s="26">
        <f t="shared" si="6"/>
        <v>1.4230525743852531</v>
      </c>
      <c r="H100" s="39"/>
      <c r="I100" s="79"/>
    </row>
    <row r="101" spans="1:9" ht="30">
      <c r="A101" s="750">
        <v>855</v>
      </c>
      <c r="B101" s="750">
        <v>85505</v>
      </c>
      <c r="C101" s="750">
        <v>2830</v>
      </c>
      <c r="D101" s="75" t="s">
        <v>382</v>
      </c>
      <c r="E101" s="81">
        <f>SUM(E102:E109)</f>
        <v>401820</v>
      </c>
      <c r="F101" s="81">
        <f>SUM(F102:F109)</f>
        <v>571200</v>
      </c>
      <c r="G101" s="23">
        <f t="shared" si="6"/>
        <v>1.4215320292668359</v>
      </c>
      <c r="H101" s="39"/>
      <c r="I101" s="79"/>
    </row>
    <row r="102" spans="1:9">
      <c r="A102" s="751"/>
      <c r="B102" s="751"/>
      <c r="C102" s="751"/>
      <c r="D102" s="20" t="str">
        <f>CUW!D169</f>
        <v>niepubliczny żłobek "Mały Antoś" w Michałowicach</v>
      </c>
      <c r="E102" s="82">
        <f>CUW!E169</f>
        <v>31920</v>
      </c>
      <c r="F102" s="82">
        <f>CUW!F169</f>
        <v>0</v>
      </c>
      <c r="G102" s="23">
        <f t="shared" si="6"/>
        <v>0</v>
      </c>
      <c r="H102" s="39"/>
      <c r="I102" s="79"/>
    </row>
    <row r="103" spans="1:9">
      <c r="A103" s="751"/>
      <c r="B103" s="751"/>
      <c r="C103" s="751"/>
      <c r="D103" s="20" t="str">
        <f>CUW!D170</f>
        <v>niepubliczny żłobek "Misie Patysie" w Nowej Wsi</v>
      </c>
      <c r="E103" s="82">
        <f>CUW!E170</f>
        <v>45820</v>
      </c>
      <c r="F103" s="82">
        <f>CUW!F170</f>
        <v>109200</v>
      </c>
      <c r="G103" s="23">
        <f t="shared" si="6"/>
        <v>2.3832387603666523</v>
      </c>
      <c r="H103" s="39"/>
      <c r="I103" s="79"/>
    </row>
    <row r="104" spans="1:9">
      <c r="A104" s="751"/>
      <c r="B104" s="751"/>
      <c r="C104" s="751"/>
      <c r="D104" s="20" t="str">
        <f>CUW!D171</f>
        <v>niepubliczny żłobek w Komorowie przy Turkusowej</v>
      </c>
      <c r="E104" s="82">
        <f>CUW!E171</f>
        <v>105940</v>
      </c>
      <c r="F104" s="82">
        <f>CUW!F171</f>
        <v>210000</v>
      </c>
      <c r="G104" s="23">
        <f t="shared" si="6"/>
        <v>1.9822541060977912</v>
      </c>
      <c r="H104" s="39"/>
      <c r="I104" s="79"/>
    </row>
    <row r="105" spans="1:9">
      <c r="A105" s="751"/>
      <c r="B105" s="751"/>
      <c r="C105" s="751"/>
      <c r="D105" s="20" t="str">
        <f>CUW!D172</f>
        <v>niepubliczny żłobek "Smykusie" w Komorowie</v>
      </c>
      <c r="E105" s="82">
        <f>CUW!E172</f>
        <v>14400</v>
      </c>
      <c r="F105" s="82">
        <f>CUW!F172</f>
        <v>0</v>
      </c>
      <c r="G105" s="23">
        <f t="shared" si="6"/>
        <v>0</v>
      </c>
      <c r="H105" s="39"/>
      <c r="I105" s="79"/>
    </row>
    <row r="106" spans="1:9">
      <c r="A106" s="751"/>
      <c r="B106" s="751"/>
      <c r="C106" s="751"/>
      <c r="D106" s="20" t="str">
        <f>CUW!D173</f>
        <v>niepubliczny żłobek "Krokodylek" w Regułach</v>
      </c>
      <c r="E106" s="82">
        <f>CUW!E173</f>
        <v>12920</v>
      </c>
      <c r="F106" s="82">
        <f>CUW!F173</f>
        <v>0</v>
      </c>
      <c r="G106" s="23">
        <f t="shared" si="6"/>
        <v>0</v>
      </c>
      <c r="H106" s="39"/>
      <c r="I106" s="79"/>
    </row>
    <row r="107" spans="1:9">
      <c r="A107" s="751"/>
      <c r="B107" s="751"/>
      <c r="C107" s="751"/>
      <c r="D107" s="20" t="str">
        <f>CUW!D174</f>
        <v>niepubliczny żłobek "Sasanka" w Nowej Wsi</v>
      </c>
      <c r="E107" s="82">
        <f>CUW!E174</f>
        <v>108920</v>
      </c>
      <c r="F107" s="82">
        <f>CUW!F174</f>
        <v>120000</v>
      </c>
      <c r="G107" s="23">
        <f t="shared" si="6"/>
        <v>1.1017260374586852</v>
      </c>
      <c r="H107" s="39"/>
      <c r="I107" s="79"/>
    </row>
    <row r="108" spans="1:9">
      <c r="A108" s="751"/>
      <c r="B108" s="751"/>
      <c r="C108" s="751"/>
      <c r="D108" s="20" t="str">
        <f>CUW!D175</f>
        <v>niepubliczny żłobek "Radosny Brzdąc" w Komorowie</v>
      </c>
      <c r="E108" s="82">
        <f>CUW!E175</f>
        <v>43500</v>
      </c>
      <c r="F108" s="82">
        <f>CUW!F175</f>
        <v>48000</v>
      </c>
      <c r="G108" s="23">
        <f>SUM(F108/E108)</f>
        <v>1.103448275862069</v>
      </c>
      <c r="H108" s="39"/>
      <c r="I108" s="79"/>
    </row>
    <row r="109" spans="1:9">
      <c r="A109" s="752"/>
      <c r="B109" s="752"/>
      <c r="C109" s="752"/>
      <c r="D109" s="20" t="str">
        <f>CUW!D176</f>
        <v>niepubliczny żłobek "Gumisiowy Raj" w Regułach</v>
      </c>
      <c r="E109" s="82">
        <f>CUW!E176</f>
        <v>38400</v>
      </c>
      <c r="F109" s="82">
        <f>CUW!F176</f>
        <v>84000</v>
      </c>
      <c r="G109" s="23">
        <f t="shared" si="6"/>
        <v>2.1875</v>
      </c>
      <c r="H109" s="39"/>
      <c r="I109" s="79"/>
    </row>
    <row r="110" spans="1:9">
      <c r="A110" s="740" t="s">
        <v>488</v>
      </c>
      <c r="B110" s="741"/>
      <c r="C110" s="741"/>
      <c r="D110" s="742"/>
      <c r="E110" s="84">
        <f>CUW!E177</f>
        <v>401820</v>
      </c>
      <c r="F110" s="84">
        <f>CUW!F177</f>
        <v>571200</v>
      </c>
      <c r="G110" s="26">
        <f t="shared" si="6"/>
        <v>1.4215320292668359</v>
      </c>
      <c r="H110" s="39"/>
      <c r="I110" s="79"/>
    </row>
    <row r="111" spans="1:9" ht="30">
      <c r="A111" s="750">
        <v>855</v>
      </c>
      <c r="B111" s="750">
        <v>85506</v>
      </c>
      <c r="C111" s="750">
        <v>2830</v>
      </c>
      <c r="D111" s="75" t="s">
        <v>382</v>
      </c>
      <c r="E111" s="81">
        <f>SUM(E112:E113)</f>
        <v>42100</v>
      </c>
      <c r="F111" s="81">
        <f>SUM(F112:F113)</f>
        <v>50400</v>
      </c>
      <c r="G111" s="19">
        <f t="shared" si="6"/>
        <v>1.1971496437054632</v>
      </c>
      <c r="H111" s="39"/>
      <c r="I111" s="79"/>
    </row>
    <row r="112" spans="1:9">
      <c r="A112" s="751"/>
      <c r="B112" s="751"/>
      <c r="C112" s="751"/>
      <c r="D112" s="20" t="s">
        <v>304</v>
      </c>
      <c r="E112" s="81">
        <f>CUW!E179</f>
        <v>19650</v>
      </c>
      <c r="F112" s="81">
        <f>CUW!F179</f>
        <v>50400</v>
      </c>
      <c r="G112" s="19">
        <f t="shared" si="6"/>
        <v>2.5648854961832059</v>
      </c>
      <c r="H112" s="39"/>
      <c r="I112" s="79"/>
    </row>
    <row r="113" spans="1:9">
      <c r="A113" s="752"/>
      <c r="B113" s="752"/>
      <c r="C113" s="752"/>
      <c r="D113" s="20" t="s">
        <v>438</v>
      </c>
      <c r="E113" s="81">
        <f>CUW!E180</f>
        <v>22450</v>
      </c>
      <c r="F113" s="81">
        <f>CUW!F180</f>
        <v>0</v>
      </c>
      <c r="G113" s="23">
        <f t="shared" si="6"/>
        <v>0</v>
      </c>
      <c r="H113" s="39"/>
      <c r="I113" s="79"/>
    </row>
    <row r="114" spans="1:9">
      <c r="A114" s="740" t="s">
        <v>489</v>
      </c>
      <c r="B114" s="741"/>
      <c r="C114" s="741"/>
      <c r="D114" s="742"/>
      <c r="E114" s="84">
        <f>E111</f>
        <v>42100</v>
      </c>
      <c r="F114" s="84">
        <f>F111</f>
        <v>50400</v>
      </c>
      <c r="G114" s="26">
        <f t="shared" si="6"/>
        <v>1.1971496437054632</v>
      </c>
      <c r="H114" s="39"/>
      <c r="I114" s="79"/>
    </row>
    <row r="115" spans="1:9">
      <c r="A115" s="743" t="s">
        <v>490</v>
      </c>
      <c r="B115" s="744"/>
      <c r="C115" s="744"/>
      <c r="D115" s="745"/>
      <c r="E115" s="84">
        <f>E110+E114</f>
        <v>443920</v>
      </c>
      <c r="F115" s="84">
        <f>F110+F114</f>
        <v>621600</v>
      </c>
      <c r="G115" s="26">
        <f t="shared" si="6"/>
        <v>1.4002522977112994</v>
      </c>
      <c r="H115" s="39"/>
      <c r="I115" s="79"/>
    </row>
    <row r="116" spans="1:9">
      <c r="A116" s="706" t="s">
        <v>133</v>
      </c>
      <c r="B116" s="746"/>
      <c r="C116" s="746"/>
      <c r="D116" s="746"/>
      <c r="E116" s="84">
        <f>SUM(E89+E100+E115)</f>
        <v>7920929</v>
      </c>
      <c r="F116" s="84">
        <f>SUM(F89+F100+F115)</f>
        <v>8792708</v>
      </c>
      <c r="G116" s="26">
        <f t="shared" si="6"/>
        <v>1.110060196221933</v>
      </c>
      <c r="H116" s="39"/>
      <c r="I116" s="24"/>
    </row>
    <row r="117" spans="1:9">
      <c r="A117" s="747"/>
      <c r="B117" s="747"/>
      <c r="C117" s="747"/>
      <c r="D117" s="134"/>
      <c r="E117" s="119"/>
      <c r="F117" s="37">
        <f>F116-E116</f>
        <v>871779</v>
      </c>
      <c r="G117" s="136"/>
      <c r="I117" s="24"/>
    </row>
    <row r="118" spans="1:9">
      <c r="A118" s="87"/>
      <c r="B118" s="87"/>
      <c r="C118" s="87"/>
      <c r="D118" s="88"/>
      <c r="E118" s="114"/>
      <c r="F118" s="114"/>
      <c r="G118" s="38"/>
      <c r="I118" s="24"/>
    </row>
    <row r="119" spans="1:9">
      <c r="A119" s="87"/>
      <c r="B119" s="87"/>
      <c r="C119" s="87"/>
      <c r="D119" s="135"/>
      <c r="E119" s="94"/>
      <c r="F119" s="37"/>
      <c r="G119" s="38"/>
    </row>
    <row r="120" spans="1:9" ht="39.75" hidden="1" customHeight="1">
      <c r="A120" s="585"/>
      <c r="B120" s="585"/>
      <c r="C120" s="585"/>
      <c r="D120" s="585"/>
      <c r="E120" s="585"/>
      <c r="F120" s="585"/>
      <c r="G120" s="585"/>
      <c r="H120" s="106"/>
      <c r="I120" s="2"/>
    </row>
    <row r="121" spans="1:9" ht="18" hidden="1" customHeight="1">
      <c r="A121" s="585"/>
      <c r="B121" s="585"/>
      <c r="C121" s="585"/>
      <c r="D121" s="585"/>
      <c r="E121" s="484"/>
      <c r="F121" s="484"/>
      <c r="G121" s="113"/>
      <c r="H121" s="106"/>
      <c r="I121" s="2"/>
    </row>
    <row r="122" spans="1:9" ht="18" hidden="1" customHeight="1">
      <c r="A122" s="739"/>
      <c r="B122" s="737"/>
      <c r="C122" s="737"/>
      <c r="D122" s="737"/>
      <c r="E122" s="737"/>
      <c r="F122" s="118"/>
      <c r="G122" s="113"/>
      <c r="H122" s="106"/>
      <c r="I122" s="2"/>
    </row>
    <row r="123" spans="1:9" hidden="1">
      <c r="A123" s="556"/>
      <c r="B123" s="556"/>
      <c r="C123" s="556"/>
      <c r="D123" s="556"/>
      <c r="E123" s="484"/>
      <c r="H123" s="74"/>
      <c r="I123" s="62"/>
    </row>
    <row r="124" spans="1:9" hidden="1">
      <c r="A124" s="556"/>
      <c r="B124" s="556"/>
      <c r="C124" s="556"/>
      <c r="D124" s="556"/>
      <c r="E124" s="52"/>
      <c r="F124" s="78"/>
      <c r="G124" s="52"/>
      <c r="H124" s="74"/>
      <c r="I124" s="62"/>
    </row>
    <row r="125" spans="1:9" hidden="1">
      <c r="A125" s="736"/>
      <c r="B125" s="736"/>
      <c r="C125" s="736"/>
      <c r="D125" s="736"/>
      <c r="E125" s="736"/>
      <c r="F125" s="78"/>
      <c r="G125" s="52"/>
      <c r="H125" s="74"/>
      <c r="I125" s="62"/>
    </row>
    <row r="126" spans="1:9" hidden="1">
      <c r="A126" s="52"/>
      <c r="B126" s="52"/>
      <c r="C126" s="52"/>
      <c r="D126" s="137"/>
      <c r="E126" s="52"/>
      <c r="F126" s="78"/>
      <c r="G126" s="52"/>
      <c r="H126" s="74" t="e">
        <f>'ZS Mich'!F173+'ZSP NW'!F228+'Pd Mich'!G68+'ZSO Kom'!F229+#REF!+CUW!F183</f>
        <v>#REF!</v>
      </c>
      <c r="I126" s="62"/>
    </row>
    <row r="127" spans="1:9" ht="13.5" hidden="1" customHeight="1">
      <c r="A127" s="483"/>
      <c r="B127" s="483"/>
      <c r="C127" s="483"/>
      <c r="D127" s="483"/>
      <c r="E127" s="483"/>
      <c r="F127" s="483"/>
      <c r="G127" s="483"/>
      <c r="H127" s="74"/>
      <c r="I127" s="62"/>
    </row>
    <row r="128" spans="1:9" hidden="1">
      <c r="A128" s="52"/>
      <c r="B128" s="52"/>
      <c r="C128" s="52"/>
      <c r="D128" s="52"/>
      <c r="E128" s="52"/>
      <c r="F128" s="78"/>
      <c r="G128" s="52"/>
      <c r="H128" s="74"/>
      <c r="I128" s="62"/>
    </row>
    <row r="129" spans="1:9" hidden="1">
      <c r="A129" s="738"/>
      <c r="B129" s="569"/>
      <c r="C129" s="569"/>
      <c r="D129" s="100"/>
      <c r="E129" s="97"/>
      <c r="F129" s="100"/>
      <c r="G129" s="97"/>
      <c r="H129" s="74"/>
      <c r="I129" s="62"/>
    </row>
    <row r="130" spans="1:9" hidden="1">
      <c r="A130" s="736"/>
      <c r="B130" s="737"/>
      <c r="C130" s="737"/>
      <c r="D130" s="737"/>
      <c r="E130" s="737"/>
      <c r="F130" s="737"/>
      <c r="G130" s="737"/>
      <c r="H130" s="74"/>
      <c r="I130" s="62"/>
    </row>
    <row r="131" spans="1:9" hidden="1">
      <c r="A131" s="52"/>
      <c r="B131" s="52"/>
      <c r="C131" s="52"/>
      <c r="D131" s="78"/>
      <c r="E131" s="52"/>
      <c r="F131" s="78"/>
      <c r="G131" s="52"/>
      <c r="H131" s="74"/>
      <c r="I131" s="98"/>
    </row>
    <row r="132" spans="1:9" hidden="1">
      <c r="A132" s="52"/>
      <c r="B132" s="52"/>
      <c r="C132" s="52"/>
      <c r="D132" s="78"/>
      <c r="E132" s="52"/>
      <c r="F132" s="78"/>
      <c r="G132" s="52"/>
      <c r="H132" s="74"/>
      <c r="I132" s="62"/>
    </row>
    <row r="133" spans="1:9" hidden="1">
      <c r="A133" s="52"/>
      <c r="B133" s="52"/>
      <c r="C133" s="52"/>
      <c r="D133" s="78"/>
      <c r="E133" s="52"/>
      <c r="F133" s="78"/>
      <c r="G133" s="52"/>
      <c r="H133" s="74"/>
      <c r="I133" s="62"/>
    </row>
    <row r="134" spans="1:9" hidden="1">
      <c r="A134" s="52"/>
      <c r="B134" s="52"/>
      <c r="C134" s="52"/>
      <c r="D134" s="78"/>
      <c r="E134" s="52"/>
      <c r="F134" s="78"/>
      <c r="G134" s="52"/>
      <c r="H134" s="74"/>
      <c r="I134" s="62"/>
    </row>
    <row r="135" spans="1:9" hidden="1">
      <c r="A135" s="52"/>
      <c r="B135" s="52"/>
      <c r="C135" s="52"/>
      <c r="D135" s="98"/>
      <c r="E135" s="52"/>
      <c r="F135" s="78"/>
      <c r="G135" s="52"/>
      <c r="H135" s="74"/>
      <c r="I135" s="62"/>
    </row>
    <row r="136" spans="1:9" hidden="1">
      <c r="A136" s="736"/>
      <c r="B136" s="737"/>
      <c r="C136" s="737"/>
      <c r="D136" s="737"/>
      <c r="E136" s="737"/>
      <c r="F136" s="737"/>
      <c r="G136" s="737"/>
      <c r="H136" s="74"/>
      <c r="I136" s="62"/>
    </row>
    <row r="137" spans="1:9" hidden="1">
      <c r="A137" s="52"/>
      <c r="B137" s="52"/>
      <c r="C137" s="52"/>
      <c r="D137" s="78"/>
      <c r="E137" s="52"/>
      <c r="F137" s="78"/>
      <c r="G137" s="52"/>
      <c r="H137" s="74"/>
      <c r="I137" s="62"/>
    </row>
    <row r="138" spans="1:9" hidden="1">
      <c r="A138" s="52"/>
      <c r="B138" s="52"/>
      <c r="C138" s="52"/>
      <c r="D138" s="78"/>
      <c r="E138" s="52"/>
      <c r="F138" s="78"/>
      <c r="G138" s="52"/>
      <c r="H138" s="74"/>
      <c r="I138" s="62"/>
    </row>
    <row r="139" spans="1:9" hidden="1">
      <c r="A139" s="52"/>
      <c r="B139" s="52"/>
      <c r="C139" s="52"/>
      <c r="D139" s="78"/>
      <c r="E139" s="52"/>
      <c r="F139" s="78"/>
      <c r="G139" s="52"/>
      <c r="H139" s="74"/>
      <c r="I139" s="62"/>
    </row>
    <row r="140" spans="1:9" hidden="1">
      <c r="A140" s="52"/>
      <c r="B140" s="52"/>
      <c r="C140" s="52"/>
      <c r="D140" s="78"/>
      <c r="E140" s="52"/>
      <c r="F140" s="78"/>
      <c r="G140" s="52"/>
      <c r="H140" s="74"/>
      <c r="I140" s="62"/>
    </row>
    <row r="141" spans="1:9" hidden="1">
      <c r="A141" s="52"/>
      <c r="B141" s="52"/>
      <c r="C141" s="52"/>
      <c r="D141" s="98"/>
      <c r="E141" s="52"/>
      <c r="F141" s="78"/>
      <c r="G141" s="52"/>
      <c r="H141" s="74"/>
      <c r="I141" s="62"/>
    </row>
    <row r="142" spans="1:9" hidden="1">
      <c r="A142" s="736"/>
      <c r="B142" s="737"/>
      <c r="C142" s="737"/>
      <c r="D142" s="737"/>
      <c r="E142" s="52"/>
      <c r="F142" s="78"/>
      <c r="G142" s="52"/>
      <c r="H142" s="74"/>
      <c r="I142" s="62"/>
    </row>
    <row r="143" spans="1:9" ht="15" hidden="1" customHeight="1">
      <c r="A143" s="738"/>
      <c r="B143" s="738"/>
      <c r="C143" s="738"/>
      <c r="D143" s="738"/>
      <c r="E143" s="52"/>
      <c r="F143" s="78"/>
      <c r="G143" s="52"/>
      <c r="H143" s="74"/>
      <c r="I143" s="62"/>
    </row>
    <row r="144" spans="1:9" ht="15" hidden="1" customHeight="1">
      <c r="A144" s="556"/>
      <c r="B144" s="556"/>
      <c r="C144" s="556"/>
      <c r="D144" s="556"/>
      <c r="E144" s="52"/>
      <c r="F144" s="78"/>
      <c r="G144" s="52"/>
      <c r="H144" s="74"/>
      <c r="I144" s="62"/>
    </row>
    <row r="145" spans="1:10" hidden="1">
      <c r="A145" s="556"/>
      <c r="B145" s="556"/>
      <c r="C145" s="556"/>
      <c r="D145" s="556"/>
      <c r="E145" s="52"/>
      <c r="F145" s="78"/>
      <c r="G145" s="52"/>
      <c r="H145" s="74"/>
      <c r="I145" s="62"/>
    </row>
    <row r="146" spans="1:10" ht="15" hidden="1" customHeight="1">
      <c r="A146" s="556"/>
      <c r="B146" s="556"/>
      <c r="C146" s="556"/>
      <c r="D146" s="556"/>
      <c r="E146" s="52"/>
      <c r="F146" s="78"/>
      <c r="G146" s="52"/>
      <c r="H146" s="74"/>
      <c r="I146" s="62"/>
    </row>
    <row r="147" spans="1:10" hidden="1">
      <c r="A147" s="556"/>
      <c r="B147" s="556"/>
      <c r="C147" s="556"/>
      <c r="D147" s="556"/>
      <c r="E147" s="52"/>
      <c r="F147" s="78"/>
      <c r="G147" s="52"/>
      <c r="H147" s="74"/>
      <c r="I147" s="62"/>
    </row>
    <row r="148" spans="1:10" hidden="1">
      <c r="A148" s="1"/>
      <c r="B148" s="1"/>
      <c r="C148" s="1"/>
      <c r="D148" s="99"/>
      <c r="E148" s="52"/>
      <c r="F148" s="78"/>
      <c r="G148" s="52"/>
      <c r="H148" s="74"/>
      <c r="I148" s="62"/>
    </row>
    <row r="149" spans="1:10" hidden="1">
      <c r="A149" s="1"/>
      <c r="B149" s="1"/>
      <c r="C149" s="1"/>
      <c r="D149" s="99"/>
      <c r="E149" s="52"/>
      <c r="F149" s="78"/>
      <c r="G149" s="52"/>
      <c r="H149" s="74"/>
      <c r="I149" s="62"/>
    </row>
    <row r="150" spans="1:10" hidden="1">
      <c r="A150" s="1"/>
      <c r="B150" s="1"/>
      <c r="C150" s="1"/>
      <c r="D150" s="99"/>
      <c r="E150" s="52"/>
      <c r="F150" s="78"/>
      <c r="G150" s="52"/>
      <c r="H150" s="74"/>
      <c r="I150" s="62"/>
    </row>
    <row r="151" spans="1:10" hidden="1">
      <c r="A151" s="1"/>
      <c r="B151" s="1"/>
      <c r="C151" s="1"/>
      <c r="D151" s="99"/>
      <c r="E151" s="52"/>
      <c r="F151" s="78"/>
      <c r="G151" s="52"/>
      <c r="H151" s="74"/>
      <c r="I151" s="62"/>
    </row>
    <row r="152" spans="1:10" hidden="1">
      <c r="A152" s="1"/>
      <c r="B152" s="1"/>
      <c r="C152" s="1"/>
      <c r="D152" s="99"/>
      <c r="E152" s="52"/>
      <c r="F152" s="78"/>
      <c r="G152" s="52"/>
      <c r="H152" s="74"/>
      <c r="I152" s="62"/>
    </row>
    <row r="153" spans="1:10" hidden="1">
      <c r="A153" s="733"/>
      <c r="B153" s="733"/>
      <c r="C153" s="733"/>
      <c r="D153" s="733"/>
      <c r="E153" s="80"/>
      <c r="F153" s="80"/>
      <c r="G153" s="38"/>
    </row>
    <row r="154" spans="1:10" ht="15" hidden="1" customHeight="1">
      <c r="A154" s="734"/>
      <c r="B154" s="735"/>
      <c r="C154" s="735"/>
      <c r="D154" s="735"/>
      <c r="E154" s="735"/>
      <c r="F154" s="735"/>
      <c r="G154" s="735"/>
    </row>
    <row r="155" spans="1:10" ht="15" hidden="1" customHeight="1">
      <c r="A155" s="101"/>
      <c r="B155" s="102"/>
      <c r="C155" s="102"/>
      <c r="D155" s="138"/>
      <c r="E155" s="102"/>
      <c r="F155" s="139"/>
      <c r="G155" s="102"/>
      <c r="H155" s="24">
        <f>H119-F116</f>
        <v>-8792708</v>
      </c>
      <c r="I155" s="79"/>
    </row>
    <row r="156" spans="1:10" ht="18" customHeight="1">
      <c r="A156" s="734"/>
      <c r="B156" s="735"/>
      <c r="C156" s="735"/>
      <c r="D156" s="735"/>
      <c r="E156" s="735"/>
      <c r="F156" s="735"/>
      <c r="G156" s="735"/>
      <c r="J156" s="76"/>
    </row>
    <row r="157" spans="1:10">
      <c r="E157" s="79"/>
    </row>
    <row r="158" spans="1:10">
      <c r="E158" s="79"/>
    </row>
    <row r="159" spans="1:10">
      <c r="E159" s="79"/>
    </row>
    <row r="160" spans="1:10">
      <c r="E160" s="79"/>
    </row>
  </sheetData>
  <mergeCells count="51">
    <mergeCell ref="A1:G1"/>
    <mergeCell ref="A3:A4"/>
    <mergeCell ref="B3:B4"/>
    <mergeCell ref="J49:K49"/>
    <mergeCell ref="A75:D75"/>
    <mergeCell ref="A5:D5"/>
    <mergeCell ref="A6:A10"/>
    <mergeCell ref="B6:B10"/>
    <mergeCell ref="C7:C8"/>
    <mergeCell ref="A11:D11"/>
    <mergeCell ref="A49:D49"/>
    <mergeCell ref="A99:D99"/>
    <mergeCell ref="A89:D89"/>
    <mergeCell ref="A90:A98"/>
    <mergeCell ref="B90:B98"/>
    <mergeCell ref="C91:C98"/>
    <mergeCell ref="A76:A87"/>
    <mergeCell ref="B76:B87"/>
    <mergeCell ref="C76:C87"/>
    <mergeCell ref="A88:D88"/>
    <mergeCell ref="A100:D100"/>
    <mergeCell ref="A101:A109"/>
    <mergeCell ref="B101:B109"/>
    <mergeCell ref="C101:C109"/>
    <mergeCell ref="A110:D110"/>
    <mergeCell ref="A111:A113"/>
    <mergeCell ref="B111:B113"/>
    <mergeCell ref="C111:C113"/>
    <mergeCell ref="A114:D114"/>
    <mergeCell ref="A115:D115"/>
    <mergeCell ref="A116:D116"/>
    <mergeCell ref="A117:C117"/>
    <mergeCell ref="A120:G120"/>
    <mergeCell ref="A121:F121"/>
    <mergeCell ref="A145:D145"/>
    <mergeCell ref="A122:E122"/>
    <mergeCell ref="A123:E123"/>
    <mergeCell ref="A124:D124"/>
    <mergeCell ref="A125:E125"/>
    <mergeCell ref="A127:G127"/>
    <mergeCell ref="A129:C129"/>
    <mergeCell ref="A146:D146"/>
    <mergeCell ref="A147:D147"/>
    <mergeCell ref="A153:D153"/>
    <mergeCell ref="A154:G154"/>
    <mergeCell ref="A156:G156"/>
    <mergeCell ref="A130:G130"/>
    <mergeCell ref="A136:G136"/>
    <mergeCell ref="A142:D142"/>
    <mergeCell ref="A143:D143"/>
    <mergeCell ref="A144:D144"/>
  </mergeCells>
  <pageMargins left="0.59055118110236227" right="0.59055118110236227" top="0.39370078740157483" bottom="0.39370078740157483" header="0.31496062992125984" footer="0.31496062992125984"/>
  <pageSetup paperSize="9" scale="64" orientation="portrait" verticalDpi="0" r:id="rId1"/>
  <headerFooter>
    <oddFooter>Strona &amp;P z &amp;N</oddFooter>
  </headerFooter>
  <colBreaks count="1" manualBreakCount="1">
    <brk id="7" max="155" man="1"/>
  </colBreaks>
</worksheet>
</file>

<file path=xl/worksheets/sheet14.xml><?xml version="1.0" encoding="utf-8"?>
<worksheet xmlns="http://schemas.openxmlformats.org/spreadsheetml/2006/main" xmlns:r="http://schemas.openxmlformats.org/officeDocument/2006/relationships">
  <dimension ref="A1:L757"/>
  <sheetViews>
    <sheetView topLeftCell="A605" zoomScale="105" zoomScaleNormal="105" zoomScaleSheetLayoutView="75" workbookViewId="0">
      <selection activeCell="I706" sqref="I706"/>
    </sheetView>
  </sheetViews>
  <sheetFormatPr defaultRowHeight="15"/>
  <cols>
    <col min="1" max="1" width="4.5703125" style="275" customWidth="1"/>
    <col min="2" max="2" width="6.85546875" style="275" customWidth="1"/>
    <col min="3" max="3" width="7" style="275" customWidth="1"/>
    <col min="4" max="4" width="82" style="275" customWidth="1"/>
    <col min="5" max="5" width="14.28515625" style="275" customWidth="1"/>
    <col min="6" max="6" width="15.7109375" style="298" customWidth="1"/>
    <col min="7" max="7" width="10.7109375" style="275" bestFit="1" customWidth="1"/>
    <col min="8" max="8" width="13.42578125" style="274" customWidth="1"/>
    <col min="9" max="9" width="13.28515625" style="275" bestFit="1" customWidth="1"/>
    <col min="10" max="10" width="10" style="275" bestFit="1" customWidth="1"/>
    <col min="11" max="11" width="10.140625" style="275" bestFit="1" customWidth="1"/>
    <col min="12" max="16384" width="9.140625" style="275"/>
  </cols>
  <sheetData>
    <row r="1" spans="1:7">
      <c r="A1" s="485" t="s">
        <v>763</v>
      </c>
      <c r="B1" s="654"/>
      <c r="C1" s="654"/>
      <c r="D1" s="654"/>
      <c r="E1" s="655"/>
      <c r="F1" s="655"/>
      <c r="G1" s="655"/>
    </row>
    <row r="2" spans="1:7" ht="46.5" customHeight="1">
      <c r="A2" s="276" t="s">
        <v>287</v>
      </c>
      <c r="B2" s="276" t="s">
        <v>406</v>
      </c>
      <c r="C2" s="276" t="s">
        <v>368</v>
      </c>
      <c r="D2" s="276" t="s">
        <v>134</v>
      </c>
      <c r="E2" s="16" t="s">
        <v>687</v>
      </c>
      <c r="F2" s="149" t="s">
        <v>688</v>
      </c>
      <c r="G2" s="277" t="s">
        <v>331</v>
      </c>
    </row>
    <row r="3" spans="1:7" ht="18" customHeight="1">
      <c r="A3" s="656">
        <v>750</v>
      </c>
      <c r="B3" s="656">
        <v>75085</v>
      </c>
      <c r="C3" s="278">
        <v>3020</v>
      </c>
      <c r="D3" s="279" t="s">
        <v>347</v>
      </c>
      <c r="E3" s="280">
        <f>E4</f>
        <v>2660</v>
      </c>
      <c r="F3" s="280">
        <f>F4</f>
        <v>1300</v>
      </c>
      <c r="G3" s="281">
        <f t="shared" ref="G3:G39" si="0">SUM(F3/E3)</f>
        <v>0.48872180451127817</v>
      </c>
    </row>
    <row r="4" spans="1:7" ht="30" customHeight="1">
      <c r="A4" s="657"/>
      <c r="B4" s="657"/>
      <c r="C4" s="282"/>
      <c r="D4" s="283" t="s">
        <v>147</v>
      </c>
      <c r="E4" s="284">
        <f>SUM(CUW!E4)</f>
        <v>2660</v>
      </c>
      <c r="F4" s="284">
        <f>SUM(CUW!F4)</f>
        <v>1300</v>
      </c>
      <c r="G4" s="285">
        <f t="shared" si="0"/>
        <v>0.48872180451127817</v>
      </c>
    </row>
    <row r="5" spans="1:7" ht="18.75" customHeight="1">
      <c r="A5" s="657"/>
      <c r="B5" s="657"/>
      <c r="C5" s="278">
        <v>4010</v>
      </c>
      <c r="D5" s="279" t="s">
        <v>348</v>
      </c>
      <c r="E5" s="280">
        <f>E6+E7</f>
        <v>930100</v>
      </c>
      <c r="F5" s="280">
        <f>F6+F7</f>
        <v>960150</v>
      </c>
      <c r="G5" s="281">
        <f t="shared" si="0"/>
        <v>1.0323083539404365</v>
      </c>
    </row>
    <row r="6" spans="1:7" ht="17.25" customHeight="1">
      <c r="A6" s="657"/>
      <c r="B6" s="657"/>
      <c r="C6" s="286"/>
      <c r="D6" s="283" t="s">
        <v>181</v>
      </c>
      <c r="E6" s="284">
        <f>SUM(CUW!E6)</f>
        <v>907100</v>
      </c>
      <c r="F6" s="284">
        <f>SUM(CUW!F6)</f>
        <v>930750</v>
      </c>
      <c r="G6" s="285">
        <f t="shared" si="0"/>
        <v>1.0260720978943887</v>
      </c>
    </row>
    <row r="7" spans="1:7" ht="17.25" customHeight="1">
      <c r="A7" s="657"/>
      <c r="B7" s="657"/>
      <c r="C7" s="286"/>
      <c r="D7" s="21" t="s">
        <v>850</v>
      </c>
      <c r="E7" s="284">
        <f>SUM(CUW!E7)</f>
        <v>23000</v>
      </c>
      <c r="F7" s="284">
        <f>SUM(CUW!F7)</f>
        <v>29400</v>
      </c>
      <c r="G7" s="285">
        <f t="shared" si="0"/>
        <v>1.2782608695652173</v>
      </c>
    </row>
    <row r="8" spans="1:7" ht="17.25" customHeight="1">
      <c r="A8" s="657"/>
      <c r="B8" s="657"/>
      <c r="C8" s="278">
        <v>4040</v>
      </c>
      <c r="D8" s="279" t="s">
        <v>349</v>
      </c>
      <c r="E8" s="280">
        <f>E9</f>
        <v>73000</v>
      </c>
      <c r="F8" s="280">
        <f>F9</f>
        <v>73000</v>
      </c>
      <c r="G8" s="281">
        <f t="shared" si="0"/>
        <v>1</v>
      </c>
    </row>
    <row r="9" spans="1:7" ht="30" customHeight="1">
      <c r="A9" s="657"/>
      <c r="B9" s="657"/>
      <c r="C9" s="286"/>
      <c r="D9" s="283" t="s">
        <v>209</v>
      </c>
      <c r="E9" s="284">
        <f>SUM(CUW!E9)</f>
        <v>73000</v>
      </c>
      <c r="F9" s="284">
        <f>SUM(CUW!F9)</f>
        <v>73000</v>
      </c>
      <c r="G9" s="285">
        <f t="shared" si="0"/>
        <v>1</v>
      </c>
    </row>
    <row r="10" spans="1:7" ht="20.25" customHeight="1">
      <c r="A10" s="657"/>
      <c r="B10" s="657"/>
      <c r="C10" s="278">
        <v>4110</v>
      </c>
      <c r="D10" s="279" t="s">
        <v>446</v>
      </c>
      <c r="E10" s="280">
        <f>SUM(CUW!E10)</f>
        <v>175040</v>
      </c>
      <c r="F10" s="280">
        <f>SUM(CUW!F10)</f>
        <v>175000</v>
      </c>
      <c r="G10" s="281">
        <f t="shared" si="0"/>
        <v>0.9997714808043876</v>
      </c>
    </row>
    <row r="11" spans="1:7" ht="18.75" customHeight="1">
      <c r="A11" s="657"/>
      <c r="B11" s="657"/>
      <c r="C11" s="278">
        <v>4120</v>
      </c>
      <c r="D11" s="279" t="s">
        <v>301</v>
      </c>
      <c r="E11" s="280">
        <f>SUM(CUW!E11)</f>
        <v>14800</v>
      </c>
      <c r="F11" s="280">
        <f>SUM(CUW!F11)</f>
        <v>13000</v>
      </c>
      <c r="G11" s="281">
        <f t="shared" si="0"/>
        <v>0.8783783783783784</v>
      </c>
    </row>
    <row r="12" spans="1:7" ht="17.25" customHeight="1">
      <c r="A12" s="657"/>
      <c r="B12" s="657"/>
      <c r="C12" s="278">
        <v>4170</v>
      </c>
      <c r="D12" s="279" t="s">
        <v>210</v>
      </c>
      <c r="E12" s="280">
        <f>E13</f>
        <v>2310</v>
      </c>
      <c r="F12" s="280">
        <f>SUM(CUW!F12)</f>
        <v>0</v>
      </c>
      <c r="G12" s="281">
        <f t="shared" si="0"/>
        <v>0</v>
      </c>
    </row>
    <row r="13" spans="1:7" ht="17.25" customHeight="1">
      <c r="A13" s="657"/>
      <c r="B13" s="657"/>
      <c r="C13" s="286"/>
      <c r="D13" s="21" t="s">
        <v>748</v>
      </c>
      <c r="E13" s="284">
        <f>SUM(CUW!E13)</f>
        <v>2310</v>
      </c>
      <c r="F13" s="284">
        <f>SUM(CUW!F13)</f>
        <v>0</v>
      </c>
      <c r="G13" s="285">
        <f t="shared" si="0"/>
        <v>0</v>
      </c>
    </row>
    <row r="14" spans="1:7" ht="18.75" customHeight="1">
      <c r="A14" s="657"/>
      <c r="B14" s="657"/>
      <c r="C14" s="278">
        <v>4210</v>
      </c>
      <c r="D14" s="279" t="s">
        <v>319</v>
      </c>
      <c r="E14" s="280">
        <f>E15</f>
        <v>26000</v>
      </c>
      <c r="F14" s="280">
        <f>F15</f>
        <v>25000</v>
      </c>
      <c r="G14" s="281">
        <f t="shared" si="0"/>
        <v>0.96153846153846156</v>
      </c>
    </row>
    <row r="15" spans="1:7" ht="30" customHeight="1">
      <c r="A15" s="657"/>
      <c r="B15" s="657"/>
      <c r="C15" s="286"/>
      <c r="D15" s="21" t="s">
        <v>749</v>
      </c>
      <c r="E15" s="284">
        <f>SUM(CUW!E15)</f>
        <v>26000</v>
      </c>
      <c r="F15" s="284">
        <f>SUM(CUW!F15)</f>
        <v>25000</v>
      </c>
      <c r="G15" s="285">
        <f t="shared" si="0"/>
        <v>0.96153846153846156</v>
      </c>
    </row>
    <row r="16" spans="1:7" ht="16.5" customHeight="1">
      <c r="A16" s="657"/>
      <c r="B16" s="657"/>
      <c r="C16" s="278">
        <v>4220</v>
      </c>
      <c r="D16" s="279" t="s">
        <v>492</v>
      </c>
      <c r="E16" s="280">
        <f>E17</f>
        <v>200</v>
      </c>
      <c r="F16" s="280">
        <f>F17</f>
        <v>300</v>
      </c>
      <c r="G16" s="281">
        <f t="shared" si="0"/>
        <v>1.5</v>
      </c>
    </row>
    <row r="17" spans="1:7" ht="18" customHeight="1">
      <c r="A17" s="657"/>
      <c r="B17" s="657"/>
      <c r="C17" s="286"/>
      <c r="D17" s="283" t="s">
        <v>529</v>
      </c>
      <c r="E17" s="284">
        <f>CUW!E16</f>
        <v>200</v>
      </c>
      <c r="F17" s="284">
        <f>CUW!F16</f>
        <v>300</v>
      </c>
      <c r="G17" s="285">
        <f t="shared" si="0"/>
        <v>1.5</v>
      </c>
    </row>
    <row r="18" spans="1:7" ht="21" customHeight="1">
      <c r="A18" s="657"/>
      <c r="B18" s="657"/>
      <c r="C18" s="278">
        <v>4270</v>
      </c>
      <c r="D18" s="279" t="s">
        <v>238</v>
      </c>
      <c r="E18" s="280">
        <f>E19</f>
        <v>6500</v>
      </c>
      <c r="F18" s="280">
        <f>F19</f>
        <v>6500</v>
      </c>
      <c r="G18" s="281">
        <f t="shared" si="0"/>
        <v>1</v>
      </c>
    </row>
    <row r="19" spans="1:7" ht="21" customHeight="1">
      <c r="A19" s="657"/>
      <c r="B19" s="657"/>
      <c r="C19" s="286"/>
      <c r="D19" s="283" t="s">
        <v>553</v>
      </c>
      <c r="E19" s="284">
        <f>SUM(CUW!E19)</f>
        <v>6500</v>
      </c>
      <c r="F19" s="284">
        <f>SUM(CUW!F19)</f>
        <v>6500</v>
      </c>
      <c r="G19" s="285">
        <f t="shared" si="0"/>
        <v>1</v>
      </c>
    </row>
    <row r="20" spans="1:7" ht="18.75" customHeight="1">
      <c r="A20" s="657"/>
      <c r="B20" s="657"/>
      <c r="C20" s="278">
        <v>4280</v>
      </c>
      <c r="D20" s="279" t="s">
        <v>124</v>
      </c>
      <c r="E20" s="280">
        <f>E21</f>
        <v>1100</v>
      </c>
      <c r="F20" s="280">
        <f>F21</f>
        <v>600</v>
      </c>
      <c r="G20" s="281">
        <f t="shared" si="0"/>
        <v>0.54545454545454541</v>
      </c>
    </row>
    <row r="21" spans="1:7" ht="30.75" customHeight="1">
      <c r="A21" s="657"/>
      <c r="B21" s="657"/>
      <c r="C21" s="286"/>
      <c r="D21" s="283" t="s">
        <v>206</v>
      </c>
      <c r="E21" s="284">
        <f>SUM(CUW!E21)</f>
        <v>1100</v>
      </c>
      <c r="F21" s="284">
        <f>SUM(CUW!F21)</f>
        <v>600</v>
      </c>
      <c r="G21" s="285">
        <f t="shared" si="0"/>
        <v>0.54545454545454541</v>
      </c>
    </row>
    <row r="22" spans="1:7" ht="20.25" customHeight="1">
      <c r="A22" s="657"/>
      <c r="B22" s="657"/>
      <c r="C22" s="278">
        <v>4300</v>
      </c>
      <c r="D22" s="279" t="s">
        <v>100</v>
      </c>
      <c r="E22" s="280">
        <f>E23</f>
        <v>39290</v>
      </c>
      <c r="F22" s="280">
        <f>F23</f>
        <v>36500</v>
      </c>
      <c r="G22" s="281">
        <f t="shared" si="0"/>
        <v>0.92898956477475181</v>
      </c>
    </row>
    <row r="23" spans="1:7" ht="28.5" customHeight="1">
      <c r="A23" s="657"/>
      <c r="B23" s="657"/>
      <c r="C23" s="286"/>
      <c r="D23" s="21" t="s">
        <v>849</v>
      </c>
      <c r="E23" s="284">
        <f>SUM(CUW!E23)</f>
        <v>39290</v>
      </c>
      <c r="F23" s="284">
        <f>SUM(CUW!F23)</f>
        <v>36500</v>
      </c>
      <c r="G23" s="285">
        <f t="shared" si="0"/>
        <v>0.92898956477475181</v>
      </c>
    </row>
    <row r="24" spans="1:7" ht="22.9" customHeight="1">
      <c r="A24" s="657"/>
      <c r="B24" s="657"/>
      <c r="C24" s="278">
        <v>4360</v>
      </c>
      <c r="D24" s="279" t="s">
        <v>461</v>
      </c>
      <c r="E24" s="280">
        <f>E25</f>
        <v>7150</v>
      </c>
      <c r="F24" s="280">
        <f>F25</f>
        <v>5500</v>
      </c>
      <c r="G24" s="281">
        <f t="shared" si="0"/>
        <v>0.76923076923076927</v>
      </c>
    </row>
    <row r="25" spans="1:7" ht="18" customHeight="1">
      <c r="A25" s="657"/>
      <c r="B25" s="657"/>
      <c r="C25" s="286"/>
      <c r="D25" s="283" t="s">
        <v>392</v>
      </c>
      <c r="E25" s="284">
        <f>SUM(CUW!E25)</f>
        <v>7150</v>
      </c>
      <c r="F25" s="284">
        <f>SUM(CUW!F25)</f>
        <v>5500</v>
      </c>
      <c r="G25" s="285">
        <f t="shared" si="0"/>
        <v>0.76923076923076927</v>
      </c>
    </row>
    <row r="26" spans="1:7" ht="19.5" customHeight="1">
      <c r="A26" s="657"/>
      <c r="B26" s="657"/>
      <c r="C26" s="278">
        <v>4410</v>
      </c>
      <c r="D26" s="279" t="s">
        <v>203</v>
      </c>
      <c r="E26" s="280">
        <f>E27</f>
        <v>4600</v>
      </c>
      <c r="F26" s="280">
        <f>F27</f>
        <v>5000</v>
      </c>
      <c r="G26" s="281">
        <f t="shared" si="0"/>
        <v>1.0869565217391304</v>
      </c>
    </row>
    <row r="27" spans="1:7" ht="28.5" customHeight="1">
      <c r="A27" s="657"/>
      <c r="B27" s="657"/>
      <c r="C27" s="286"/>
      <c r="D27" s="283" t="s">
        <v>221</v>
      </c>
      <c r="E27" s="284">
        <f>SUM(CUW!E27)</f>
        <v>4600</v>
      </c>
      <c r="F27" s="284">
        <f>SUM(CUW!F27)</f>
        <v>5000</v>
      </c>
      <c r="G27" s="285">
        <f t="shared" si="0"/>
        <v>1.0869565217391304</v>
      </c>
    </row>
    <row r="28" spans="1:7" ht="19.5" customHeight="1">
      <c r="A28" s="657"/>
      <c r="B28" s="657"/>
      <c r="C28" s="278">
        <v>4430</v>
      </c>
      <c r="D28" s="279" t="s">
        <v>413</v>
      </c>
      <c r="E28" s="280">
        <f>E29</f>
        <v>2300</v>
      </c>
      <c r="F28" s="280">
        <f>F29</f>
        <v>2300</v>
      </c>
      <c r="G28" s="281">
        <f t="shared" si="0"/>
        <v>1</v>
      </c>
    </row>
    <row r="29" spans="1:7" ht="20.25" customHeight="1">
      <c r="A29" s="657"/>
      <c r="B29" s="657"/>
      <c r="C29" s="286"/>
      <c r="D29" s="283" t="s">
        <v>356</v>
      </c>
      <c r="E29" s="284">
        <f>SUM(CUW!E29)</f>
        <v>2300</v>
      </c>
      <c r="F29" s="284">
        <f>SUM(CUW!F29)</f>
        <v>2300</v>
      </c>
      <c r="G29" s="285">
        <f t="shared" si="0"/>
        <v>1</v>
      </c>
    </row>
    <row r="30" spans="1:7" ht="18.75" customHeight="1">
      <c r="A30" s="657"/>
      <c r="B30" s="657"/>
      <c r="C30" s="278">
        <v>4440</v>
      </c>
      <c r="D30" s="279" t="s">
        <v>317</v>
      </c>
      <c r="E30" s="280">
        <f>E31</f>
        <v>14030</v>
      </c>
      <c r="F30" s="280">
        <f>F31</f>
        <v>14030</v>
      </c>
      <c r="G30" s="281">
        <f t="shared" si="0"/>
        <v>1</v>
      </c>
    </row>
    <row r="31" spans="1:7" ht="18.75" customHeight="1">
      <c r="A31" s="657"/>
      <c r="B31" s="657"/>
      <c r="C31" s="286"/>
      <c r="D31" s="283" t="s">
        <v>340</v>
      </c>
      <c r="E31" s="284">
        <f>SUM(CUW!E31)</f>
        <v>14030</v>
      </c>
      <c r="F31" s="284">
        <f>SUM(CUW!F31)</f>
        <v>14030</v>
      </c>
      <c r="G31" s="285">
        <f t="shared" si="0"/>
        <v>1</v>
      </c>
    </row>
    <row r="32" spans="1:7" ht="21" customHeight="1">
      <c r="A32" s="657"/>
      <c r="B32" s="657"/>
      <c r="C32" s="278">
        <v>4700</v>
      </c>
      <c r="D32" s="279" t="s">
        <v>243</v>
      </c>
      <c r="E32" s="280">
        <f>E33</f>
        <v>12000</v>
      </c>
      <c r="F32" s="280">
        <f>F33</f>
        <v>12000</v>
      </c>
      <c r="G32" s="281">
        <f t="shared" si="0"/>
        <v>1</v>
      </c>
    </row>
    <row r="33" spans="1:7" ht="22.5" customHeight="1">
      <c r="A33" s="657"/>
      <c r="B33" s="657"/>
      <c r="C33" s="286"/>
      <c r="D33" s="283" t="s">
        <v>84</v>
      </c>
      <c r="E33" s="284">
        <f>SUM(CUW!E33)</f>
        <v>12000</v>
      </c>
      <c r="F33" s="284">
        <f>SUM(CUW!F33)</f>
        <v>12000</v>
      </c>
      <c r="G33" s="285">
        <f t="shared" si="0"/>
        <v>1</v>
      </c>
    </row>
    <row r="34" spans="1:7" ht="22.5" hidden="1" customHeight="1">
      <c r="A34" s="657"/>
      <c r="B34" s="657"/>
      <c r="C34" s="287">
        <v>6060</v>
      </c>
      <c r="D34" s="288" t="str">
        <f>CUW!D34</f>
        <v xml:space="preserve">Wydatki na zakupy inwestycyjne jednostek budżetowych    </v>
      </c>
      <c r="E34" s="280">
        <f>E35</f>
        <v>0</v>
      </c>
      <c r="F34" s="280">
        <f>F35</f>
        <v>0</v>
      </c>
      <c r="G34" s="285" t="e">
        <f t="shared" si="0"/>
        <v>#DIV/0!</v>
      </c>
    </row>
    <row r="35" spans="1:7" ht="22.5" hidden="1" customHeight="1">
      <c r="A35" s="658"/>
      <c r="B35" s="658"/>
      <c r="C35" s="289"/>
      <c r="D35" s="290" t="str">
        <f>CUW!D35</f>
        <v>zakup samochodu służbowego dla placówek oświatowych</v>
      </c>
      <c r="E35" s="284">
        <f>CUW!E34</f>
        <v>0</v>
      </c>
      <c r="F35" s="284">
        <f>CUW!F34</f>
        <v>0</v>
      </c>
      <c r="G35" s="285" t="e">
        <f t="shared" si="0"/>
        <v>#DIV/0!</v>
      </c>
    </row>
    <row r="36" spans="1:7" ht="20.25" customHeight="1">
      <c r="A36" s="659" t="s">
        <v>482</v>
      </c>
      <c r="B36" s="660"/>
      <c r="C36" s="660"/>
      <c r="D36" s="661"/>
      <c r="E36" s="291">
        <f>SUM(E3+E5+E8+E10+E11+E12+E14+E18+E20+E22++E24+E26+E28+E30+E32+E16+E34)</f>
        <v>1311080</v>
      </c>
      <c r="F36" s="291">
        <f>SUM(F3+F5+F8+F10+F11+F12+F14+F18+F20+F22++F24+F26+F28+F30+F32+F16+F34)</f>
        <v>1330180</v>
      </c>
      <c r="G36" s="292">
        <f t="shared" si="0"/>
        <v>1.014568142294902</v>
      </c>
    </row>
    <row r="37" spans="1:7" ht="30.75" customHeight="1">
      <c r="A37" s="656">
        <v>801</v>
      </c>
      <c r="B37" s="656">
        <v>80101</v>
      </c>
      <c r="C37" s="293">
        <v>2310</v>
      </c>
      <c r="D37" s="293" t="s">
        <v>328</v>
      </c>
      <c r="E37" s="280">
        <f>E38</f>
        <v>2100</v>
      </c>
      <c r="F37" s="280">
        <f>F38</f>
        <v>2100</v>
      </c>
      <c r="G37" s="281">
        <f t="shared" si="0"/>
        <v>1</v>
      </c>
    </row>
    <row r="38" spans="1:7" ht="17.45" customHeight="1">
      <c r="A38" s="657"/>
      <c r="B38" s="657"/>
      <c r="C38" s="294"/>
      <c r="D38" s="33" t="s">
        <v>739</v>
      </c>
      <c r="E38" s="284">
        <f>CUW!E37</f>
        <v>2100</v>
      </c>
      <c r="F38" s="284">
        <f>CUW!F37</f>
        <v>2100</v>
      </c>
      <c r="G38" s="285">
        <f t="shared" si="0"/>
        <v>1</v>
      </c>
    </row>
    <row r="39" spans="1:7">
      <c r="A39" s="657"/>
      <c r="B39" s="657"/>
      <c r="C39" s="278">
        <v>3020</v>
      </c>
      <c r="D39" s="279" t="s">
        <v>347</v>
      </c>
      <c r="E39" s="280">
        <f>SUM(E40:E45)</f>
        <v>850738</v>
      </c>
      <c r="F39" s="280">
        <f>SUM(F40:F45)</f>
        <v>695560</v>
      </c>
      <c r="G39" s="281">
        <f t="shared" si="0"/>
        <v>0.81759601663496873</v>
      </c>
    </row>
    <row r="40" spans="1:7" ht="30">
      <c r="A40" s="657"/>
      <c r="B40" s="657"/>
      <c r="C40" s="286"/>
      <c r="D40" s="21" t="s">
        <v>768</v>
      </c>
      <c r="E40" s="284">
        <f>SUM('ZSO Kom'!E4)</f>
        <v>292872</v>
      </c>
      <c r="F40" s="284">
        <f>SUM('ZSO Kom'!F3)</f>
        <v>229200</v>
      </c>
      <c r="G40" s="285">
        <f t="shared" ref="G40:G109" si="1">SUM(F40/E40)</f>
        <v>0.78259444398918299</v>
      </c>
    </row>
    <row r="41" spans="1:7" hidden="1">
      <c r="A41" s="657"/>
      <c r="B41" s="657"/>
      <c r="C41" s="286"/>
      <c r="D41" s="283" t="str">
        <f>'ZSO Kom'!D5</f>
        <v xml:space="preserve"> odzież ochronna, zakup okularów</v>
      </c>
      <c r="E41" s="284">
        <f>SUM('ZSO Kom'!E5)</f>
        <v>5790</v>
      </c>
      <c r="F41" s="284">
        <v>0</v>
      </c>
      <c r="G41" s="285">
        <f t="shared" si="1"/>
        <v>0</v>
      </c>
    </row>
    <row r="42" spans="1:7" ht="30">
      <c r="A42" s="657"/>
      <c r="B42" s="657"/>
      <c r="C42" s="286"/>
      <c r="D42" s="21" t="s">
        <v>769</v>
      </c>
      <c r="E42" s="284">
        <f>SUM('ZS Mich'!E4)</f>
        <v>308300</v>
      </c>
      <c r="F42" s="284">
        <f>SUM('ZS Mich'!F3)</f>
        <v>272860</v>
      </c>
      <c r="G42" s="285">
        <f t="shared" si="1"/>
        <v>0.88504703211157965</v>
      </c>
    </row>
    <row r="43" spans="1:7" hidden="1">
      <c r="A43" s="657"/>
      <c r="B43" s="657"/>
      <c r="C43" s="286"/>
      <c r="D43" s="283" t="str">
        <f>'ZS Mich'!D5</f>
        <v>odzież ochronna, napoje dla pracowników</v>
      </c>
      <c r="E43" s="284">
        <f>SUM('ZS Mich'!E5)</f>
        <v>5100</v>
      </c>
      <c r="F43" s="284">
        <v>0</v>
      </c>
      <c r="G43" s="285">
        <f t="shared" si="1"/>
        <v>0</v>
      </c>
    </row>
    <row r="44" spans="1:7" ht="30">
      <c r="A44" s="657"/>
      <c r="B44" s="657"/>
      <c r="C44" s="286"/>
      <c r="D44" s="21" t="s">
        <v>770</v>
      </c>
      <c r="E44" s="284">
        <f>SUM('ZSP NW'!E4)</f>
        <v>237176</v>
      </c>
      <c r="F44" s="284">
        <f>SUM('ZSP NW'!F3)</f>
        <v>193500</v>
      </c>
      <c r="G44" s="285">
        <f t="shared" si="1"/>
        <v>0.81584983303538305</v>
      </c>
    </row>
    <row r="45" spans="1:7" hidden="1">
      <c r="A45" s="657"/>
      <c r="B45" s="657"/>
      <c r="C45" s="286"/>
      <c r="D45" s="283" t="str">
        <f>'ZSP NW'!D5</f>
        <v xml:space="preserve"> odzież ochronna</v>
      </c>
      <c r="E45" s="284">
        <f>SUM('ZSP NW'!E5)</f>
        <v>1500</v>
      </c>
      <c r="F45" s="284">
        <v>0</v>
      </c>
      <c r="G45" s="285">
        <f t="shared" si="1"/>
        <v>0</v>
      </c>
    </row>
    <row r="46" spans="1:7" ht="17.25" customHeight="1">
      <c r="A46" s="657"/>
      <c r="B46" s="657"/>
      <c r="C46" s="278">
        <v>4010</v>
      </c>
      <c r="D46" s="279" t="s">
        <v>348</v>
      </c>
      <c r="E46" s="280">
        <f>SUM(E47:E52)</f>
        <v>9556231</v>
      </c>
      <c r="F46" s="280">
        <f>SUM(F47:F52)</f>
        <v>12775000</v>
      </c>
      <c r="G46" s="281">
        <f t="shared" si="1"/>
        <v>1.3368241098399567</v>
      </c>
    </row>
    <row r="47" spans="1:7" ht="30" customHeight="1">
      <c r="A47" s="657"/>
      <c r="B47" s="657"/>
      <c r="C47" s="286"/>
      <c r="D47" s="21" t="s">
        <v>771</v>
      </c>
      <c r="E47" s="284">
        <f>SUM('ZSO Kom'!E7)</f>
        <v>3312879</v>
      </c>
      <c r="F47" s="284">
        <f>SUM('ZSO Kom'!F7)</f>
        <v>4171300</v>
      </c>
      <c r="G47" s="285">
        <f t="shared" si="1"/>
        <v>1.2591163154464742</v>
      </c>
    </row>
    <row r="48" spans="1:7" ht="18" customHeight="1">
      <c r="A48" s="657"/>
      <c r="B48" s="657"/>
      <c r="C48" s="286"/>
      <c r="D48" s="283" t="str">
        <f>'ZSO Kom'!D8</f>
        <v xml:space="preserve"> nagrody jubileuszowe (7), odprawy emerytalne (7)</v>
      </c>
      <c r="E48" s="284">
        <f>SUM('ZSO Kom'!E8)</f>
        <v>41100</v>
      </c>
      <c r="F48" s="284">
        <f>SUM('ZSO Kom'!F8)</f>
        <v>185700</v>
      </c>
      <c r="G48" s="285">
        <f t="shared" si="1"/>
        <v>4.5182481751824817</v>
      </c>
    </row>
    <row r="49" spans="1:7" ht="29.25" customHeight="1">
      <c r="A49" s="657"/>
      <c r="B49" s="657"/>
      <c r="C49" s="286"/>
      <c r="D49" s="21" t="s">
        <v>772</v>
      </c>
      <c r="E49" s="284">
        <f>SUM('ZS Mich'!E7)</f>
        <v>3636100</v>
      </c>
      <c r="F49" s="284">
        <f>SUM('ZS Mich'!F7)</f>
        <v>4720200</v>
      </c>
      <c r="G49" s="285">
        <f t="shared" si="1"/>
        <v>1.2981491158108962</v>
      </c>
    </row>
    <row r="50" spans="1:7" ht="18.75" customHeight="1">
      <c r="A50" s="657"/>
      <c r="B50" s="657"/>
      <c r="C50" s="286"/>
      <c r="D50" s="283" t="str">
        <f>'ZS Mich'!D8</f>
        <v xml:space="preserve"> nagrody jubileuszowe (15), odprawy emerytalne (2)</v>
      </c>
      <c r="E50" s="284">
        <f>SUM('ZS Mich'!E8)</f>
        <v>45000</v>
      </c>
      <c r="F50" s="284">
        <f>SUM('ZS Mich'!F8)</f>
        <v>112800</v>
      </c>
      <c r="G50" s="285">
        <f t="shared" si="1"/>
        <v>2.5066666666666668</v>
      </c>
    </row>
    <row r="51" spans="1:7" ht="33.75" customHeight="1">
      <c r="A51" s="657"/>
      <c r="B51" s="657"/>
      <c r="C51" s="286"/>
      <c r="D51" s="29" t="s">
        <v>773</v>
      </c>
      <c r="E51" s="284">
        <f>SUM('ZSP NW'!E7)</f>
        <v>2482852</v>
      </c>
      <c r="F51" s="284">
        <f>SUM('ZSP NW'!F7)</f>
        <v>3449400</v>
      </c>
      <c r="G51" s="285">
        <f t="shared" si="1"/>
        <v>1.3892894139481531</v>
      </c>
    </row>
    <row r="52" spans="1:7" ht="16.5" customHeight="1">
      <c r="A52" s="657"/>
      <c r="B52" s="657"/>
      <c r="C52" s="286"/>
      <c r="D52" s="296" t="str">
        <f>'ZSP NW'!D8</f>
        <v>nagrody jubileuszowe (7), odprawy emerytalne  (7)</v>
      </c>
      <c r="E52" s="284">
        <f>'ZSP NW'!E8</f>
        <v>38300</v>
      </c>
      <c r="F52" s="284">
        <f>'ZSP NW'!F8</f>
        <v>135600</v>
      </c>
      <c r="G52" s="285">
        <f t="shared" si="1"/>
        <v>3.5404699738903394</v>
      </c>
    </row>
    <row r="53" spans="1:7" ht="17.25" customHeight="1">
      <c r="A53" s="657"/>
      <c r="B53" s="657"/>
      <c r="C53" s="278">
        <v>4040</v>
      </c>
      <c r="D53" s="279" t="s">
        <v>349</v>
      </c>
      <c r="E53" s="280">
        <f>SUM(E54:E56)</f>
        <v>695000</v>
      </c>
      <c r="F53" s="280">
        <f>SUM(F54:F56)</f>
        <v>888000</v>
      </c>
      <c r="G53" s="281">
        <f t="shared" si="1"/>
        <v>1.2776978417266187</v>
      </c>
    </row>
    <row r="54" spans="1:7" ht="29.25" customHeight="1">
      <c r="A54" s="657"/>
      <c r="B54" s="657"/>
      <c r="C54" s="286"/>
      <c r="D54" s="283" t="s">
        <v>146</v>
      </c>
      <c r="E54" s="284">
        <f>SUM('ZSO Kom'!E9)</f>
        <v>248000</v>
      </c>
      <c r="F54" s="284">
        <f>SUM('ZSO Kom'!F9)</f>
        <v>310000</v>
      </c>
      <c r="G54" s="285">
        <f t="shared" si="1"/>
        <v>1.25</v>
      </c>
    </row>
    <row r="55" spans="1:7" ht="28.5" customHeight="1">
      <c r="A55" s="657"/>
      <c r="B55" s="657"/>
      <c r="C55" s="286"/>
      <c r="D55" s="283" t="s">
        <v>285</v>
      </c>
      <c r="E55" s="284">
        <f>SUM('ZS Mich'!E9)</f>
        <v>269000</v>
      </c>
      <c r="F55" s="284">
        <f>SUM('ZS Mich'!F9)</f>
        <v>335000</v>
      </c>
      <c r="G55" s="285">
        <f t="shared" si="1"/>
        <v>1.245353159851301</v>
      </c>
    </row>
    <row r="56" spans="1:7" ht="30.75" customHeight="1">
      <c r="A56" s="657"/>
      <c r="B56" s="657"/>
      <c r="C56" s="286"/>
      <c r="D56" s="283" t="s">
        <v>344</v>
      </c>
      <c r="E56" s="284">
        <f>SUM('ZSP NW'!E9)</f>
        <v>178000</v>
      </c>
      <c r="F56" s="284">
        <f>SUM('ZSP NW'!F9)</f>
        <v>243000</v>
      </c>
      <c r="G56" s="285">
        <f t="shared" si="1"/>
        <v>1.3651685393258426</v>
      </c>
    </row>
    <row r="57" spans="1:7" ht="16.5" customHeight="1">
      <c r="A57" s="657"/>
      <c r="B57" s="657"/>
      <c r="C57" s="278">
        <v>4110</v>
      </c>
      <c r="D57" s="279" t="s">
        <v>446</v>
      </c>
      <c r="E57" s="280">
        <f>SUM(E58:E60)</f>
        <v>1975099</v>
      </c>
      <c r="F57" s="280">
        <f>SUM(F58:F60)</f>
        <v>2527500</v>
      </c>
      <c r="G57" s="281">
        <f t="shared" si="1"/>
        <v>1.2796826893234212</v>
      </c>
    </row>
    <row r="58" spans="1:7" ht="18" customHeight="1">
      <c r="A58" s="657"/>
      <c r="B58" s="657"/>
      <c r="C58" s="286"/>
      <c r="D58" s="283" t="s">
        <v>447</v>
      </c>
      <c r="E58" s="284">
        <f>SUM('ZSO Kom'!E10)</f>
        <v>703150</v>
      </c>
      <c r="F58" s="284">
        <f>SUM('ZSO Kom'!F10)</f>
        <v>842000</v>
      </c>
      <c r="G58" s="285">
        <f t="shared" si="1"/>
        <v>1.1974685344521083</v>
      </c>
    </row>
    <row r="59" spans="1:7" ht="18.75" customHeight="1">
      <c r="A59" s="657"/>
      <c r="B59" s="657"/>
      <c r="C59" s="286"/>
      <c r="D59" s="283" t="s">
        <v>448</v>
      </c>
      <c r="E59" s="284">
        <f>SUM('ZS Mich'!E10)</f>
        <v>751655</v>
      </c>
      <c r="F59" s="284">
        <f>SUM('ZS Mich'!F10)</f>
        <v>967500</v>
      </c>
      <c r="G59" s="285">
        <f t="shared" si="1"/>
        <v>1.2871596676666821</v>
      </c>
    </row>
    <row r="60" spans="1:7" ht="16.5" customHeight="1">
      <c r="A60" s="657"/>
      <c r="B60" s="657"/>
      <c r="C60" s="286"/>
      <c r="D60" s="283" t="s">
        <v>258</v>
      </c>
      <c r="E60" s="284">
        <f>SUM('ZSP NW'!E10)</f>
        <v>520294</v>
      </c>
      <c r="F60" s="284">
        <f>SUM('ZSP NW'!F10)</f>
        <v>718000</v>
      </c>
      <c r="G60" s="285">
        <f t="shared" si="1"/>
        <v>1.3799890062157165</v>
      </c>
    </row>
    <row r="61" spans="1:7" ht="17.25" customHeight="1">
      <c r="A61" s="657"/>
      <c r="B61" s="657"/>
      <c r="C61" s="278">
        <v>4120</v>
      </c>
      <c r="D61" s="279" t="s">
        <v>301</v>
      </c>
      <c r="E61" s="280">
        <f>SUM(E62:E64)</f>
        <v>262269</v>
      </c>
      <c r="F61" s="280">
        <f>SUM(F62:F64)</f>
        <v>326900</v>
      </c>
      <c r="G61" s="281">
        <f t="shared" si="1"/>
        <v>1.2464301919022074</v>
      </c>
    </row>
    <row r="62" spans="1:7" ht="15.75" customHeight="1">
      <c r="A62" s="657"/>
      <c r="B62" s="657"/>
      <c r="C62" s="286"/>
      <c r="D62" s="283" t="s">
        <v>268</v>
      </c>
      <c r="E62" s="284">
        <f>SUM('ZSO Kom'!E11)</f>
        <v>94626</v>
      </c>
      <c r="F62" s="284">
        <f>SUM('ZSO Kom'!F11)</f>
        <v>108200</v>
      </c>
      <c r="G62" s="285">
        <f t="shared" si="1"/>
        <v>1.1434489463783739</v>
      </c>
    </row>
    <row r="63" spans="1:7" ht="15.75" customHeight="1">
      <c r="A63" s="657"/>
      <c r="B63" s="657"/>
      <c r="C63" s="286"/>
      <c r="D63" s="283" t="s">
        <v>269</v>
      </c>
      <c r="E63" s="284">
        <f>SUM('ZS Mich'!E11)</f>
        <v>100758</v>
      </c>
      <c r="F63" s="284">
        <f>SUM('ZS Mich'!F11)</f>
        <v>125400</v>
      </c>
      <c r="G63" s="285">
        <f t="shared" si="1"/>
        <v>1.244566188292741</v>
      </c>
    </row>
    <row r="64" spans="1:7" ht="17.25" customHeight="1">
      <c r="A64" s="657"/>
      <c r="B64" s="657"/>
      <c r="C64" s="286"/>
      <c r="D64" s="283" t="s">
        <v>270</v>
      </c>
      <c r="E64" s="284">
        <f>SUM('ZSP NW'!E11)</f>
        <v>66885</v>
      </c>
      <c r="F64" s="284">
        <f>SUM('ZSP NW'!F11)</f>
        <v>93300</v>
      </c>
      <c r="G64" s="285">
        <f t="shared" si="1"/>
        <v>1.3949315990132316</v>
      </c>
    </row>
    <row r="65" spans="1:9" ht="16.5" customHeight="1">
      <c r="A65" s="657"/>
      <c r="B65" s="657"/>
      <c r="C65" s="278">
        <v>4140</v>
      </c>
      <c r="D65" s="279" t="s">
        <v>288</v>
      </c>
      <c r="E65" s="280">
        <f>SUM(E66:E68)</f>
        <v>24500</v>
      </c>
      <c r="F65" s="280">
        <f>SUM(F66:F68)</f>
        <v>0</v>
      </c>
      <c r="G65" s="281">
        <f t="shared" si="1"/>
        <v>0</v>
      </c>
    </row>
    <row r="66" spans="1:9" ht="16.5" customHeight="1">
      <c r="A66" s="657"/>
      <c r="B66" s="657"/>
      <c r="C66" s="286"/>
      <c r="D66" s="283" t="s">
        <v>271</v>
      </c>
      <c r="E66" s="284">
        <f>SUM('ZSO Kom'!E12)</f>
        <v>5000</v>
      </c>
      <c r="F66" s="284">
        <f>SUM('ZSO Kom'!F12)</f>
        <v>0</v>
      </c>
      <c r="G66" s="285">
        <f t="shared" si="1"/>
        <v>0</v>
      </c>
    </row>
    <row r="67" spans="1:9" ht="18.75" customHeight="1">
      <c r="A67" s="657"/>
      <c r="B67" s="657"/>
      <c r="C67" s="286"/>
      <c r="D67" s="283" t="s">
        <v>272</v>
      </c>
      <c r="E67" s="284">
        <f>SUM('ZS Mich'!E12)</f>
        <v>5000</v>
      </c>
      <c r="F67" s="284">
        <f>SUM('ZS Mich'!F12)</f>
        <v>0</v>
      </c>
      <c r="G67" s="285">
        <f t="shared" si="1"/>
        <v>0</v>
      </c>
    </row>
    <row r="68" spans="1:9" ht="17.25" customHeight="1">
      <c r="A68" s="657"/>
      <c r="B68" s="657"/>
      <c r="C68" s="286"/>
      <c r="D68" s="283" t="s">
        <v>273</v>
      </c>
      <c r="E68" s="284">
        <f>SUM('ZSP NW'!E12)</f>
        <v>14500</v>
      </c>
      <c r="F68" s="284">
        <f>SUM('ZSP NW'!F12)</f>
        <v>0</v>
      </c>
      <c r="G68" s="285">
        <f t="shared" si="1"/>
        <v>0</v>
      </c>
    </row>
    <row r="69" spans="1:9" ht="18.75" customHeight="1">
      <c r="A69" s="657"/>
      <c r="B69" s="657"/>
      <c r="C69" s="278">
        <v>4170</v>
      </c>
      <c r="D69" s="279" t="s">
        <v>235</v>
      </c>
      <c r="E69" s="280">
        <f>SUM(E70:E72)</f>
        <v>76500</v>
      </c>
      <c r="F69" s="280">
        <f>SUM(F70:F72)</f>
        <v>76000</v>
      </c>
      <c r="G69" s="281">
        <f t="shared" si="1"/>
        <v>0.99346405228758172</v>
      </c>
    </row>
    <row r="70" spans="1:9" ht="30.75" customHeight="1">
      <c r="A70" s="657"/>
      <c r="B70" s="657"/>
      <c r="C70" s="286"/>
      <c r="D70" s="283" t="s">
        <v>218</v>
      </c>
      <c r="E70" s="284">
        <f>SUM('ZSO Kom'!E14)</f>
        <v>34500</v>
      </c>
      <c r="F70" s="284">
        <f>SUM('ZSO Kom'!F14)</f>
        <v>30000</v>
      </c>
      <c r="G70" s="285">
        <f t="shared" si="1"/>
        <v>0.86956521739130432</v>
      </c>
    </row>
    <row r="71" spans="1:9" ht="31.5" customHeight="1">
      <c r="A71" s="657"/>
      <c r="B71" s="657"/>
      <c r="C71" s="286"/>
      <c r="D71" s="27" t="s">
        <v>851</v>
      </c>
      <c r="E71" s="284">
        <f>SUM('ZS Mich'!E14)</f>
        <v>42000</v>
      </c>
      <c r="F71" s="284">
        <f>'ZS Mich'!F14</f>
        <v>46000</v>
      </c>
      <c r="G71" s="285">
        <f t="shared" si="1"/>
        <v>1.0952380952380953</v>
      </c>
    </row>
    <row r="72" spans="1:9" ht="46.15" hidden="1" customHeight="1">
      <c r="A72" s="657"/>
      <c r="B72" s="657"/>
      <c r="C72" s="286"/>
      <c r="D72" s="297" t="s">
        <v>219</v>
      </c>
      <c r="E72" s="284">
        <f>SUM('ZSP NW'!E14)</f>
        <v>0</v>
      </c>
      <c r="F72" s="284">
        <f>SUM('ZSP NW'!F14)</f>
        <v>0</v>
      </c>
      <c r="G72" s="285" t="e">
        <f t="shared" si="1"/>
        <v>#DIV/0!</v>
      </c>
    </row>
    <row r="73" spans="1:9" ht="20.25" customHeight="1">
      <c r="A73" s="657"/>
      <c r="B73" s="657"/>
      <c r="C73" s="278">
        <v>4190</v>
      </c>
      <c r="D73" s="293" t="s">
        <v>452</v>
      </c>
      <c r="E73" s="280">
        <f>E74+E75+E76</f>
        <v>4200</v>
      </c>
      <c r="F73" s="280">
        <f>F74+F75+F76</f>
        <v>5000</v>
      </c>
      <c r="G73" s="281">
        <f t="shared" si="1"/>
        <v>1.1904761904761905</v>
      </c>
    </row>
    <row r="74" spans="1:9" ht="17.25" customHeight="1">
      <c r="A74" s="657"/>
      <c r="B74" s="657"/>
      <c r="C74" s="286"/>
      <c r="D74" s="283" t="s">
        <v>453</v>
      </c>
      <c r="E74" s="284">
        <f>'ZSO Kom'!E15</f>
        <v>1500</v>
      </c>
      <c r="F74" s="284">
        <f>'ZSO Kom'!F15</f>
        <v>1500</v>
      </c>
      <c r="G74" s="285">
        <f t="shared" si="1"/>
        <v>1</v>
      </c>
    </row>
    <row r="75" spans="1:9" ht="18" customHeight="1">
      <c r="A75" s="657"/>
      <c r="B75" s="657"/>
      <c r="C75" s="286"/>
      <c r="D75" s="297" t="s">
        <v>454</v>
      </c>
      <c r="E75" s="284">
        <f>'ZS Mich'!E15</f>
        <v>0</v>
      </c>
      <c r="F75" s="284">
        <f>'ZS Mich'!F15</f>
        <v>500</v>
      </c>
      <c r="G75" s="285" t="e">
        <f t="shared" si="1"/>
        <v>#DIV/0!</v>
      </c>
    </row>
    <row r="76" spans="1:9" ht="17.25" customHeight="1">
      <c r="A76" s="657"/>
      <c r="B76" s="657"/>
      <c r="C76" s="286"/>
      <c r="D76" s="297" t="s">
        <v>455</v>
      </c>
      <c r="E76" s="284">
        <f>'ZSP NW'!E15</f>
        <v>2700</v>
      </c>
      <c r="F76" s="284">
        <f>'ZSP NW'!F15</f>
        <v>3000</v>
      </c>
      <c r="G76" s="285">
        <f t="shared" si="1"/>
        <v>1.1111111111111112</v>
      </c>
    </row>
    <row r="77" spans="1:9">
      <c r="A77" s="657"/>
      <c r="B77" s="657"/>
      <c r="C77" s="278">
        <v>4210</v>
      </c>
      <c r="D77" s="279" t="s">
        <v>274</v>
      </c>
      <c r="E77" s="280">
        <f>SUM(E78:E83)</f>
        <v>277090</v>
      </c>
      <c r="F77" s="280">
        <f>SUM(F78:F83)</f>
        <v>297000</v>
      </c>
      <c r="G77" s="281">
        <f t="shared" si="1"/>
        <v>1.0718539102818578</v>
      </c>
      <c r="I77" s="298"/>
    </row>
    <row r="78" spans="1:9" ht="59.45" customHeight="1">
      <c r="A78" s="657"/>
      <c r="B78" s="657"/>
      <c r="C78" s="286"/>
      <c r="D78" s="21" t="s">
        <v>764</v>
      </c>
      <c r="E78" s="284">
        <f>SUM('ZSO Kom'!E18)</f>
        <v>64920</v>
      </c>
      <c r="F78" s="284">
        <f>SUM('ZSO Kom'!F18)</f>
        <v>76000</v>
      </c>
      <c r="G78" s="285">
        <f t="shared" si="1"/>
        <v>1.1706715958102281</v>
      </c>
      <c r="I78" s="298"/>
    </row>
    <row r="79" spans="1:9" ht="65.25" customHeight="1">
      <c r="A79" s="657"/>
      <c r="B79" s="657"/>
      <c r="C79" s="286"/>
      <c r="D79" s="29" t="s">
        <v>790</v>
      </c>
      <c r="E79" s="284">
        <f>SUM('ZS Mich'!E18)</f>
        <v>157170</v>
      </c>
      <c r="F79" s="284">
        <f>SUM('ZS Mich'!F18)</f>
        <v>160000</v>
      </c>
      <c r="G79" s="285">
        <f t="shared" si="1"/>
        <v>1.0180059807851372</v>
      </c>
      <c r="I79" s="298"/>
    </row>
    <row r="80" spans="1:9" ht="51.75" customHeight="1">
      <c r="A80" s="657"/>
      <c r="B80" s="657"/>
      <c r="C80" s="286"/>
      <c r="D80" s="21" t="s">
        <v>831</v>
      </c>
      <c r="E80" s="284">
        <f>SUM('ZSP NW'!E18)</f>
        <v>55000</v>
      </c>
      <c r="F80" s="284">
        <f>SUM('ZSP NW'!F18)</f>
        <v>61000</v>
      </c>
      <c r="G80" s="285">
        <f t="shared" si="1"/>
        <v>1.1090909090909091</v>
      </c>
      <c r="I80" s="298"/>
    </row>
    <row r="81" spans="1:9" ht="16.5" hidden="1" customHeight="1">
      <c r="A81" s="657"/>
      <c r="B81" s="657"/>
      <c r="C81" s="286"/>
      <c r="D81" s="283" t="s">
        <v>526</v>
      </c>
      <c r="E81" s="284">
        <f>SUM('ZSO Kom'!E19)</f>
        <v>0</v>
      </c>
      <c r="F81" s="284">
        <f>SUM('ZSO Kom'!F19)</f>
        <v>0</v>
      </c>
      <c r="G81" s="285" t="e">
        <f t="shared" si="1"/>
        <v>#DIV/0!</v>
      </c>
    </row>
    <row r="82" spans="1:9" ht="17.25" hidden="1" customHeight="1">
      <c r="A82" s="657"/>
      <c r="B82" s="657"/>
      <c r="C82" s="286"/>
      <c r="D82" s="283" t="s">
        <v>527</v>
      </c>
      <c r="E82" s="284">
        <f>SUM('ZS Mich'!E19)</f>
        <v>0</v>
      </c>
      <c r="F82" s="284">
        <f>SUM('ZS Mich'!F19)</f>
        <v>0</v>
      </c>
      <c r="G82" s="285" t="e">
        <f t="shared" si="1"/>
        <v>#DIV/0!</v>
      </c>
    </row>
    <row r="83" spans="1:9" ht="17.25" hidden="1" customHeight="1">
      <c r="A83" s="657"/>
      <c r="B83" s="657"/>
      <c r="C83" s="286"/>
      <c r="D83" s="283" t="s">
        <v>528</v>
      </c>
      <c r="E83" s="284">
        <f>SUM('ZSP NW'!E19)</f>
        <v>0</v>
      </c>
      <c r="F83" s="284">
        <f>SUM('ZSP NW'!F19)</f>
        <v>0</v>
      </c>
      <c r="G83" s="285" t="e">
        <f t="shared" si="1"/>
        <v>#DIV/0!</v>
      </c>
    </row>
    <row r="84" spans="1:9" ht="17.25" customHeight="1">
      <c r="A84" s="657"/>
      <c r="B84" s="657"/>
      <c r="C84" s="278">
        <v>4220</v>
      </c>
      <c r="D84" s="279" t="s">
        <v>492</v>
      </c>
      <c r="E84" s="280">
        <f>E85+E86+E87</f>
        <v>500</v>
      </c>
      <c r="F84" s="280">
        <f>F85+F86+F87</f>
        <v>550</v>
      </c>
      <c r="G84" s="281">
        <f t="shared" si="1"/>
        <v>1.1000000000000001</v>
      </c>
    </row>
    <row r="85" spans="1:9" ht="17.25" customHeight="1">
      <c r="A85" s="657"/>
      <c r="B85" s="657"/>
      <c r="C85" s="286"/>
      <c r="D85" s="283" t="s">
        <v>494</v>
      </c>
      <c r="E85" s="284">
        <f>'ZSO Kom'!E21</f>
        <v>100</v>
      </c>
      <c r="F85" s="284">
        <f>'ZSO Kom'!F21</f>
        <v>150</v>
      </c>
      <c r="G85" s="285">
        <f t="shared" si="1"/>
        <v>1.5</v>
      </c>
    </row>
    <row r="86" spans="1:9" ht="17.25" customHeight="1">
      <c r="A86" s="657"/>
      <c r="B86" s="657"/>
      <c r="C86" s="286"/>
      <c r="D86" s="283" t="s">
        <v>495</v>
      </c>
      <c r="E86" s="284">
        <f>'ZS Mich'!E21</f>
        <v>400</v>
      </c>
      <c r="F86" s="284">
        <f>'ZS Mich'!F21</f>
        <v>400</v>
      </c>
      <c r="G86" s="285">
        <f t="shared" si="1"/>
        <v>1</v>
      </c>
    </row>
    <row r="87" spans="1:9" ht="17.25" hidden="1" customHeight="1">
      <c r="A87" s="657"/>
      <c r="B87" s="657"/>
      <c r="C87" s="286"/>
      <c r="D87" s="283" t="s">
        <v>496</v>
      </c>
      <c r="E87" s="284">
        <f>'ZSP NW'!E21</f>
        <v>0</v>
      </c>
      <c r="F87" s="284">
        <f>'ZSP NW'!F21</f>
        <v>0</v>
      </c>
      <c r="G87" s="285" t="e">
        <f t="shared" si="1"/>
        <v>#DIV/0!</v>
      </c>
    </row>
    <row r="88" spans="1:9">
      <c r="A88" s="657"/>
      <c r="B88" s="657"/>
      <c r="C88" s="278">
        <v>4240</v>
      </c>
      <c r="D88" s="279" t="s">
        <v>179</v>
      </c>
      <c r="E88" s="280">
        <f>SUM(E89:E91)</f>
        <v>114840</v>
      </c>
      <c r="F88" s="280">
        <f>SUM(F89:F91)</f>
        <v>83000</v>
      </c>
      <c r="G88" s="281">
        <f t="shared" si="1"/>
        <v>0.72274468826192961</v>
      </c>
    </row>
    <row r="89" spans="1:9" ht="18" customHeight="1">
      <c r="A89" s="657"/>
      <c r="B89" s="657"/>
      <c r="C89" s="286"/>
      <c r="D89" s="283" t="s">
        <v>180</v>
      </c>
      <c r="E89" s="284">
        <f>SUM('ZSO Kom'!E23)</f>
        <v>66340</v>
      </c>
      <c r="F89" s="284">
        <f>SUM('ZSO Kom'!F23)</f>
        <v>30000</v>
      </c>
      <c r="G89" s="285">
        <f t="shared" si="1"/>
        <v>0.45221585770274342</v>
      </c>
    </row>
    <row r="90" spans="1:9" ht="18.75" customHeight="1">
      <c r="A90" s="657"/>
      <c r="B90" s="657"/>
      <c r="C90" s="286"/>
      <c r="D90" s="283" t="s">
        <v>309</v>
      </c>
      <c r="E90" s="284">
        <f>SUM('ZS Mich'!E23)</f>
        <v>20000</v>
      </c>
      <c r="F90" s="284">
        <f>SUM('ZS Mich'!F23)</f>
        <v>23000</v>
      </c>
      <c r="G90" s="285">
        <f t="shared" si="1"/>
        <v>1.1499999999999999</v>
      </c>
    </row>
    <row r="91" spans="1:9" ht="19.5" customHeight="1">
      <c r="A91" s="657"/>
      <c r="B91" s="657"/>
      <c r="C91" s="286"/>
      <c r="D91" s="283" t="s">
        <v>548</v>
      </c>
      <c r="E91" s="284">
        <f>SUM('ZSP NW'!E23)</f>
        <v>28500</v>
      </c>
      <c r="F91" s="284">
        <f>SUM('ZSP NW'!F23)</f>
        <v>30000</v>
      </c>
      <c r="G91" s="285">
        <f t="shared" si="1"/>
        <v>1.0526315789473684</v>
      </c>
    </row>
    <row r="92" spans="1:9" ht="15" customHeight="1">
      <c r="A92" s="657"/>
      <c r="B92" s="657"/>
      <c r="C92" s="278">
        <v>4260</v>
      </c>
      <c r="D92" s="279" t="s">
        <v>443</v>
      </c>
      <c r="E92" s="280">
        <f>SUM(E93:E95)</f>
        <v>1006300</v>
      </c>
      <c r="F92" s="280">
        <f>SUM(F93:F95)</f>
        <v>1013500</v>
      </c>
      <c r="G92" s="281">
        <f t="shared" si="1"/>
        <v>1.0071549239789328</v>
      </c>
      <c r="I92" s="298"/>
    </row>
    <row r="93" spans="1:9">
      <c r="A93" s="657"/>
      <c r="B93" s="657"/>
      <c r="C93" s="286"/>
      <c r="D93" s="283" t="s">
        <v>444</v>
      </c>
      <c r="E93" s="284">
        <f>SUM('ZSO Kom'!E25)</f>
        <v>431300</v>
      </c>
      <c r="F93" s="284">
        <f>SUM('ZSO Kom'!F25)</f>
        <v>350000</v>
      </c>
      <c r="G93" s="285">
        <f t="shared" si="1"/>
        <v>0.81150011592858795</v>
      </c>
    </row>
    <row r="94" spans="1:9" ht="16.5" customHeight="1">
      <c r="A94" s="657"/>
      <c r="B94" s="657"/>
      <c r="C94" s="286"/>
      <c r="D94" s="283" t="s">
        <v>445</v>
      </c>
      <c r="E94" s="284">
        <f>SUM('ZS Mich'!E27)</f>
        <v>315000</v>
      </c>
      <c r="F94" s="284">
        <f>SUM('ZS Mich'!F27)</f>
        <v>391500</v>
      </c>
      <c r="G94" s="285">
        <f t="shared" si="1"/>
        <v>1.2428571428571429</v>
      </c>
    </row>
    <row r="95" spans="1:9" ht="16.5" customHeight="1">
      <c r="A95" s="657"/>
      <c r="B95" s="657"/>
      <c r="C95" s="286"/>
      <c r="D95" s="283" t="s">
        <v>377</v>
      </c>
      <c r="E95" s="284">
        <f>SUM('ZSP NW'!E27)</f>
        <v>260000</v>
      </c>
      <c r="F95" s="284">
        <f>SUM('ZSP NW'!F27)</f>
        <v>272000</v>
      </c>
      <c r="G95" s="285">
        <f t="shared" si="1"/>
        <v>1.0461538461538462</v>
      </c>
    </row>
    <row r="96" spans="1:9">
      <c r="A96" s="657"/>
      <c r="B96" s="657"/>
      <c r="C96" s="278">
        <v>4270</v>
      </c>
      <c r="D96" s="279" t="s">
        <v>238</v>
      </c>
      <c r="E96" s="280">
        <f>SUM(E97:E102)</f>
        <v>74570</v>
      </c>
      <c r="F96" s="280">
        <f>SUM(F97:F102)</f>
        <v>52700</v>
      </c>
      <c r="G96" s="281">
        <f t="shared" si="1"/>
        <v>0.70671851951186804</v>
      </c>
      <c r="I96" s="298"/>
    </row>
    <row r="97" spans="1:9" ht="30">
      <c r="A97" s="657"/>
      <c r="B97" s="657"/>
      <c r="C97" s="286"/>
      <c r="D97" s="283" t="s">
        <v>197</v>
      </c>
      <c r="E97" s="284">
        <f>SUM('ZSO Kom'!E28)</f>
        <v>9570</v>
      </c>
      <c r="F97" s="284">
        <f>SUM('ZSO Kom'!F28)</f>
        <v>10200</v>
      </c>
      <c r="G97" s="285">
        <f t="shared" si="1"/>
        <v>1.0658307210031348</v>
      </c>
    </row>
    <row r="98" spans="1:9" ht="30">
      <c r="A98" s="657"/>
      <c r="B98" s="657"/>
      <c r="C98" s="286"/>
      <c r="D98" s="283" t="s">
        <v>198</v>
      </c>
      <c r="E98" s="284">
        <f>SUM('ZS Mich'!E30)</f>
        <v>22000</v>
      </c>
      <c r="F98" s="284">
        <f>SUM('ZS Mich'!F30)</f>
        <v>24500</v>
      </c>
      <c r="G98" s="285">
        <f t="shared" si="1"/>
        <v>1.1136363636363635</v>
      </c>
    </row>
    <row r="99" spans="1:9" ht="30">
      <c r="A99" s="657"/>
      <c r="B99" s="657"/>
      <c r="C99" s="286"/>
      <c r="D99" s="283" t="s">
        <v>123</v>
      </c>
      <c r="E99" s="284">
        <f>SUM('ZSP NW'!E30)</f>
        <v>18000</v>
      </c>
      <c r="F99" s="284">
        <f>SUM('ZSP NW'!F30)</f>
        <v>18000</v>
      </c>
      <c r="G99" s="285">
        <f t="shared" si="1"/>
        <v>1</v>
      </c>
    </row>
    <row r="100" spans="1:9" ht="31.5" hidden="1" customHeight="1">
      <c r="A100" s="657"/>
      <c r="B100" s="657"/>
      <c r="C100" s="299"/>
      <c r="D100" s="89" t="s">
        <v>810</v>
      </c>
      <c r="E100" s="301">
        <f>SUM('ZSO Kom'!E27)</f>
        <v>0</v>
      </c>
      <c r="F100" s="301">
        <f>SUM('ZSO Kom'!F27)</f>
        <v>0</v>
      </c>
      <c r="G100" s="302" t="e">
        <f t="shared" si="1"/>
        <v>#DIV/0!</v>
      </c>
      <c r="I100" s="274"/>
    </row>
    <row r="101" spans="1:9" ht="24" customHeight="1">
      <c r="A101" s="657"/>
      <c r="B101" s="657"/>
      <c r="C101" s="286"/>
      <c r="D101" s="27" t="s">
        <v>711</v>
      </c>
      <c r="E101" s="284">
        <f>SUM('ZS Mich'!E29)</f>
        <v>25000</v>
      </c>
      <c r="F101" s="284">
        <f>SUM('ZS Mich'!F29)</f>
        <v>0</v>
      </c>
      <c r="G101" s="281">
        <f t="shared" si="1"/>
        <v>0</v>
      </c>
    </row>
    <row r="102" spans="1:9" ht="59.25" hidden="1" customHeight="1">
      <c r="A102" s="657"/>
      <c r="B102" s="657"/>
      <c r="C102" s="286"/>
      <c r="D102" s="297" t="s">
        <v>633</v>
      </c>
      <c r="E102" s="284">
        <f>SUM('ZSP NW'!E29)</f>
        <v>0</v>
      </c>
      <c r="F102" s="284">
        <f>SUM('ZSP NW'!F29)</f>
        <v>0</v>
      </c>
      <c r="G102" s="281" t="e">
        <f t="shared" si="1"/>
        <v>#DIV/0!</v>
      </c>
    </row>
    <row r="103" spans="1:9" ht="16.5" customHeight="1">
      <c r="A103" s="657"/>
      <c r="B103" s="657"/>
      <c r="C103" s="278">
        <v>4280</v>
      </c>
      <c r="D103" s="279" t="s">
        <v>124</v>
      </c>
      <c r="E103" s="280">
        <f>SUM(E104:E106)</f>
        <v>8500</v>
      </c>
      <c r="F103" s="280">
        <f>SUM(F104:F106)</f>
        <v>10500</v>
      </c>
      <c r="G103" s="281">
        <f t="shared" si="1"/>
        <v>1.2352941176470589</v>
      </c>
    </row>
    <row r="104" spans="1:9" ht="30">
      <c r="A104" s="657"/>
      <c r="B104" s="657"/>
      <c r="C104" s="286"/>
      <c r="D104" s="283" t="s">
        <v>435</v>
      </c>
      <c r="E104" s="284">
        <f>SUM('ZSO Kom'!E29)</f>
        <v>2500</v>
      </c>
      <c r="F104" s="284">
        <f>SUM('ZSO Kom'!F29)</f>
        <v>1500</v>
      </c>
      <c r="G104" s="285">
        <f t="shared" si="1"/>
        <v>0.6</v>
      </c>
    </row>
    <row r="105" spans="1:9" ht="30">
      <c r="A105" s="657"/>
      <c r="B105" s="657"/>
      <c r="C105" s="286"/>
      <c r="D105" s="283" t="s">
        <v>98</v>
      </c>
      <c r="E105" s="284">
        <f>SUM('ZS Mich'!E31)</f>
        <v>4000</v>
      </c>
      <c r="F105" s="284">
        <f>SUM('ZS Mich'!F31)</f>
        <v>7000</v>
      </c>
      <c r="G105" s="285">
        <f t="shared" si="1"/>
        <v>1.75</v>
      </c>
    </row>
    <row r="106" spans="1:9" ht="30">
      <c r="A106" s="657"/>
      <c r="B106" s="657"/>
      <c r="C106" s="286"/>
      <c r="D106" s="283" t="s">
        <v>99</v>
      </c>
      <c r="E106" s="284">
        <f>SUM('ZSP NW'!E31)</f>
        <v>2000</v>
      </c>
      <c r="F106" s="284">
        <f>SUM('ZSP NW'!F31)</f>
        <v>2000</v>
      </c>
      <c r="G106" s="285">
        <f t="shared" si="1"/>
        <v>1</v>
      </c>
    </row>
    <row r="107" spans="1:9">
      <c r="A107" s="657"/>
      <c r="B107" s="657"/>
      <c r="C107" s="278">
        <v>4300</v>
      </c>
      <c r="D107" s="279" t="s">
        <v>100</v>
      </c>
      <c r="E107" s="280">
        <f>SUM(E108:E110)</f>
        <v>631473</v>
      </c>
      <c r="F107" s="280">
        <f>SUM(F108:F110)</f>
        <v>705400</v>
      </c>
      <c r="G107" s="281">
        <f t="shared" si="1"/>
        <v>1.11707072194694</v>
      </c>
      <c r="I107" s="298"/>
    </row>
    <row r="108" spans="1:9" ht="77.25" customHeight="1">
      <c r="A108" s="657"/>
      <c r="B108" s="657"/>
      <c r="C108" s="286"/>
      <c r="D108" s="27" t="s">
        <v>852</v>
      </c>
      <c r="E108" s="284">
        <f>SUM('ZSO Kom'!E31)</f>
        <v>189993</v>
      </c>
      <c r="F108" s="284">
        <f>SUM('ZSO Kom'!F31)</f>
        <v>215000</v>
      </c>
      <c r="G108" s="285">
        <f t="shared" si="1"/>
        <v>1.1316206386551084</v>
      </c>
      <c r="I108" s="274"/>
    </row>
    <row r="109" spans="1:9" ht="90.75" customHeight="1">
      <c r="A109" s="657"/>
      <c r="B109" s="657"/>
      <c r="C109" s="286"/>
      <c r="D109" s="27" t="s">
        <v>788</v>
      </c>
      <c r="E109" s="284">
        <f>SUM('ZS Mich'!E33)</f>
        <v>244250</v>
      </c>
      <c r="F109" s="284">
        <f>SUM('ZS Mich'!F33)</f>
        <v>269400</v>
      </c>
      <c r="G109" s="285">
        <f t="shared" si="1"/>
        <v>1.1029682702149437</v>
      </c>
      <c r="I109" s="274"/>
    </row>
    <row r="110" spans="1:9" ht="61.5" customHeight="1">
      <c r="A110" s="657"/>
      <c r="B110" s="657"/>
      <c r="C110" s="286"/>
      <c r="D110" s="89" t="s">
        <v>842</v>
      </c>
      <c r="E110" s="284">
        <f>SUM('ZSP NW'!E33)</f>
        <v>197230</v>
      </c>
      <c r="F110" s="284">
        <f>SUM('ZSP NW'!F33)</f>
        <v>221000</v>
      </c>
      <c r="G110" s="285">
        <f t="shared" ref="G110:G160" si="2">SUM(F110/E110)</f>
        <v>1.1205191907924759</v>
      </c>
      <c r="I110" s="274"/>
    </row>
    <row r="111" spans="1:9">
      <c r="A111" s="657"/>
      <c r="B111" s="657"/>
      <c r="C111" s="278">
        <v>4360</v>
      </c>
      <c r="D111" s="279" t="s">
        <v>457</v>
      </c>
      <c r="E111" s="280">
        <f>SUM(E112:E114)</f>
        <v>21500</v>
      </c>
      <c r="F111" s="280">
        <f>SUM(F112:F114)</f>
        <v>20400</v>
      </c>
      <c r="G111" s="281">
        <f t="shared" si="2"/>
        <v>0.94883720930232562</v>
      </c>
    </row>
    <row r="112" spans="1:9" ht="18.75" customHeight="1">
      <c r="A112" s="657"/>
      <c r="B112" s="657"/>
      <c r="C112" s="286"/>
      <c r="D112" s="283" t="s">
        <v>393</v>
      </c>
      <c r="E112" s="284">
        <f>SUM('ZSO Kom'!E32)</f>
        <v>15000</v>
      </c>
      <c r="F112" s="284">
        <f>SUM('ZSO Kom'!F32)</f>
        <v>13100</v>
      </c>
      <c r="G112" s="281">
        <f t="shared" si="2"/>
        <v>0.87333333333333329</v>
      </c>
    </row>
    <row r="113" spans="1:9" ht="19.149999999999999" customHeight="1">
      <c r="A113" s="657"/>
      <c r="B113" s="657"/>
      <c r="C113" s="286"/>
      <c r="D113" s="283" t="s">
        <v>394</v>
      </c>
      <c r="E113" s="284">
        <f>SUM('ZS Mich'!E35)</f>
        <v>3100</v>
      </c>
      <c r="F113" s="284">
        <f>SUM('ZS Mich'!F34)</f>
        <v>3300</v>
      </c>
      <c r="G113" s="281">
        <f t="shared" si="2"/>
        <v>1.064516129032258</v>
      </c>
    </row>
    <row r="114" spans="1:9" ht="19.149999999999999" customHeight="1">
      <c r="A114" s="657"/>
      <c r="B114" s="657"/>
      <c r="C114" s="286"/>
      <c r="D114" s="283" t="s">
        <v>395</v>
      </c>
      <c r="E114" s="284">
        <f>SUM('ZSP NW'!E35)</f>
        <v>3400</v>
      </c>
      <c r="F114" s="284">
        <f>SUM('ZSP NW'!F34)</f>
        <v>4000</v>
      </c>
      <c r="G114" s="281">
        <f t="shared" si="2"/>
        <v>1.1764705882352942</v>
      </c>
    </row>
    <row r="115" spans="1:9" ht="16.5" customHeight="1">
      <c r="A115" s="657"/>
      <c r="B115" s="657"/>
      <c r="C115" s="278">
        <v>4410</v>
      </c>
      <c r="D115" s="279" t="s">
        <v>203</v>
      </c>
      <c r="E115" s="280">
        <f>SUM(E116:E118)</f>
        <v>2020</v>
      </c>
      <c r="F115" s="280">
        <f>SUM(F116:F118)</f>
        <v>3850</v>
      </c>
      <c r="G115" s="281">
        <f t="shared" si="2"/>
        <v>1.9059405940594059</v>
      </c>
    </row>
    <row r="116" spans="1:9" ht="29.25" customHeight="1">
      <c r="A116" s="657"/>
      <c r="B116" s="657"/>
      <c r="C116" s="286"/>
      <c r="D116" s="27" t="s">
        <v>682</v>
      </c>
      <c r="E116" s="284">
        <f>SUM('ZSO Kom'!E35)</f>
        <v>2000</v>
      </c>
      <c r="F116" s="284">
        <f>SUM('ZSO Kom'!F35)</f>
        <v>2100</v>
      </c>
      <c r="G116" s="285">
        <f t="shared" si="2"/>
        <v>1.05</v>
      </c>
    </row>
    <row r="117" spans="1:9" ht="33.75" customHeight="1">
      <c r="A117" s="657"/>
      <c r="B117" s="657"/>
      <c r="C117" s="286"/>
      <c r="D117" s="27" t="s">
        <v>796</v>
      </c>
      <c r="E117" s="284">
        <f>SUM('ZS Mich'!E37)</f>
        <v>20</v>
      </c>
      <c r="F117" s="284">
        <f>SUM('ZS Mich'!F37)</f>
        <v>1750</v>
      </c>
      <c r="G117" s="285">
        <f t="shared" si="2"/>
        <v>87.5</v>
      </c>
    </row>
    <row r="118" spans="1:9" ht="18" hidden="1" customHeight="1">
      <c r="A118" s="657"/>
      <c r="B118" s="657"/>
      <c r="C118" s="286"/>
      <c r="D118" s="283" t="s">
        <v>412</v>
      </c>
      <c r="E118" s="284">
        <f>SUM('ZSP NW'!E37)</f>
        <v>0</v>
      </c>
      <c r="F118" s="284">
        <f>SUM('ZSP NW'!F37)</f>
        <v>0</v>
      </c>
      <c r="G118" s="285" t="e">
        <f t="shared" si="2"/>
        <v>#DIV/0!</v>
      </c>
    </row>
    <row r="119" spans="1:9" ht="17.25" customHeight="1">
      <c r="A119" s="657"/>
      <c r="B119" s="657"/>
      <c r="C119" s="278">
        <v>4430</v>
      </c>
      <c r="D119" s="279" t="s">
        <v>413</v>
      </c>
      <c r="E119" s="280">
        <f>SUM(E120:E122)</f>
        <v>11790</v>
      </c>
      <c r="F119" s="280">
        <f>SUM(F120:F122)</f>
        <v>18500</v>
      </c>
      <c r="G119" s="281">
        <f t="shared" si="2"/>
        <v>1.5691263782866836</v>
      </c>
      <c r="I119" s="298"/>
    </row>
    <row r="120" spans="1:9" ht="17.25" customHeight="1">
      <c r="A120" s="657"/>
      <c r="B120" s="657"/>
      <c r="C120" s="286"/>
      <c r="D120" s="283" t="s">
        <v>302</v>
      </c>
      <c r="E120" s="284">
        <f>SUM('ZSO Kom'!E37)</f>
        <v>3530</v>
      </c>
      <c r="F120" s="284">
        <f>SUM('ZSO Kom'!F37)</f>
        <v>6000</v>
      </c>
      <c r="G120" s="285">
        <f t="shared" si="2"/>
        <v>1.6997167138810199</v>
      </c>
    </row>
    <row r="121" spans="1:9" ht="18" customHeight="1">
      <c r="A121" s="657"/>
      <c r="B121" s="657"/>
      <c r="C121" s="286"/>
      <c r="D121" s="283" t="s">
        <v>31</v>
      </c>
      <c r="E121" s="284">
        <f>SUM('ZS Mich'!E39)</f>
        <v>3760</v>
      </c>
      <c r="F121" s="284">
        <f>SUM('ZS Mich'!F39)</f>
        <v>7000</v>
      </c>
      <c r="G121" s="285">
        <f t="shared" si="2"/>
        <v>1.8617021276595744</v>
      </c>
    </row>
    <row r="122" spans="1:9" ht="16.5" customHeight="1">
      <c r="A122" s="657"/>
      <c r="B122" s="657"/>
      <c r="C122" s="286"/>
      <c r="D122" s="283" t="s">
        <v>32</v>
      </c>
      <c r="E122" s="284">
        <f>SUM('ZSP NW'!E39)</f>
        <v>4500</v>
      </c>
      <c r="F122" s="284">
        <f>SUM('ZSP NW'!F39)</f>
        <v>5500</v>
      </c>
      <c r="G122" s="285">
        <f t="shared" si="2"/>
        <v>1.2222222222222223</v>
      </c>
    </row>
    <row r="123" spans="1:9" ht="16.5" customHeight="1">
      <c r="A123" s="657"/>
      <c r="B123" s="657"/>
      <c r="C123" s="278">
        <v>4440</v>
      </c>
      <c r="D123" s="279" t="s">
        <v>317</v>
      </c>
      <c r="E123" s="280">
        <f>SUM(E124:E126)</f>
        <v>534723</v>
      </c>
      <c r="F123" s="280">
        <f>SUM(F124:F126)</f>
        <v>630159</v>
      </c>
      <c r="G123" s="281">
        <f t="shared" si="2"/>
        <v>1.1784774546821439</v>
      </c>
    </row>
    <row r="124" spans="1:9" ht="30.75" customHeight="1">
      <c r="A124" s="657"/>
      <c r="B124" s="657"/>
      <c r="C124" s="286"/>
      <c r="D124" s="283" t="s">
        <v>318</v>
      </c>
      <c r="E124" s="284">
        <f>SUM('ZSO Kom'!E38)</f>
        <v>188711</v>
      </c>
      <c r="F124" s="284">
        <f>SUM('ZSO Kom'!F38)</f>
        <v>210308</v>
      </c>
      <c r="G124" s="285">
        <f t="shared" si="2"/>
        <v>1.1144448389336075</v>
      </c>
    </row>
    <row r="125" spans="1:9" ht="31.5" customHeight="1">
      <c r="A125" s="657"/>
      <c r="B125" s="657"/>
      <c r="C125" s="286"/>
      <c r="D125" s="283" t="s">
        <v>139</v>
      </c>
      <c r="E125" s="284">
        <f>SUM('ZS Mich'!E40)</f>
        <v>188338</v>
      </c>
      <c r="F125" s="284">
        <f>SUM('ZS Mich'!F40)</f>
        <v>237862</v>
      </c>
      <c r="G125" s="285">
        <f t="shared" si="2"/>
        <v>1.2629527763913815</v>
      </c>
    </row>
    <row r="126" spans="1:9" ht="28.5" customHeight="1">
      <c r="A126" s="657"/>
      <c r="B126" s="657"/>
      <c r="C126" s="286"/>
      <c r="D126" s="283" t="s">
        <v>86</v>
      </c>
      <c r="E126" s="284">
        <f>SUM('ZSP NW'!E40)</f>
        <v>157674</v>
      </c>
      <c r="F126" s="284">
        <f>SUM('ZSP NW'!F40)</f>
        <v>181989</v>
      </c>
      <c r="G126" s="285">
        <f t="shared" si="2"/>
        <v>1.1542105863997869</v>
      </c>
    </row>
    <row r="127" spans="1:9" ht="18" customHeight="1">
      <c r="A127" s="657"/>
      <c r="B127" s="657"/>
      <c r="C127" s="278">
        <v>4700</v>
      </c>
      <c r="D127" s="279" t="s">
        <v>87</v>
      </c>
      <c r="E127" s="280">
        <f>SUM(E128:E130)</f>
        <v>2970</v>
      </c>
      <c r="F127" s="280">
        <f>SUM(F128:F130)</f>
        <v>3600</v>
      </c>
      <c r="G127" s="281">
        <f t="shared" si="2"/>
        <v>1.2121212121212122</v>
      </c>
    </row>
    <row r="128" spans="1:9">
      <c r="A128" s="657"/>
      <c r="B128" s="657"/>
      <c r="C128" s="286"/>
      <c r="D128" s="283" t="s">
        <v>401</v>
      </c>
      <c r="E128" s="284">
        <f>SUM('ZSO Kom'!E40)</f>
        <v>950</v>
      </c>
      <c r="F128" s="284">
        <f>SUM('ZSO Kom'!F40)</f>
        <v>800</v>
      </c>
      <c r="G128" s="285">
        <f t="shared" si="2"/>
        <v>0.84210526315789469</v>
      </c>
    </row>
    <row r="129" spans="1:9">
      <c r="A129" s="657"/>
      <c r="B129" s="657"/>
      <c r="C129" s="286"/>
      <c r="D129" s="283" t="s">
        <v>402</v>
      </c>
      <c r="E129" s="284">
        <f>SUM('ZS Mich'!E42)</f>
        <v>1350</v>
      </c>
      <c r="F129" s="284">
        <f>SUM('ZS Mich'!F42)</f>
        <v>1600</v>
      </c>
      <c r="G129" s="285">
        <f t="shared" si="2"/>
        <v>1.1851851851851851</v>
      </c>
    </row>
    <row r="130" spans="1:9">
      <c r="A130" s="657"/>
      <c r="B130" s="657"/>
      <c r="C130" s="286"/>
      <c r="D130" s="283" t="s">
        <v>403</v>
      </c>
      <c r="E130" s="284">
        <f>SUM('ZSP NW'!E42)</f>
        <v>670</v>
      </c>
      <c r="F130" s="284">
        <f>SUM('ZSP NW'!F42)</f>
        <v>1200</v>
      </c>
      <c r="G130" s="285">
        <f t="shared" si="2"/>
        <v>1.791044776119403</v>
      </c>
    </row>
    <row r="131" spans="1:9" hidden="1">
      <c r="A131" s="657"/>
      <c r="B131" s="657"/>
      <c r="C131" s="286">
        <v>6060</v>
      </c>
      <c r="D131" s="283" t="s">
        <v>414</v>
      </c>
      <c r="E131" s="284">
        <f>SUM(E132)</f>
        <v>0</v>
      </c>
      <c r="F131" s="284">
        <f>SUM(F132)</f>
        <v>0</v>
      </c>
      <c r="G131" s="303" t="e">
        <f t="shared" si="2"/>
        <v>#DIV/0!</v>
      </c>
    </row>
    <row r="132" spans="1:9" hidden="1">
      <c r="A132" s="658"/>
      <c r="B132" s="658"/>
      <c r="C132" s="286"/>
      <c r="D132" s="283" t="s">
        <v>386</v>
      </c>
      <c r="E132" s="284">
        <f>'ZSP NW'!E44</f>
        <v>0</v>
      </c>
      <c r="F132" s="284">
        <f>'ZSP NW'!F44</f>
        <v>0</v>
      </c>
      <c r="G132" s="292" t="e">
        <f t="shared" si="2"/>
        <v>#DIV/0!</v>
      </c>
    </row>
    <row r="133" spans="1:9">
      <c r="A133" s="659" t="s">
        <v>90</v>
      </c>
      <c r="B133" s="662"/>
      <c r="C133" s="662"/>
      <c r="D133" s="663"/>
      <c r="E133" s="291">
        <f>SUM(E37+E39+E46+E53+E57+E61+E65+E69+E73+E77+E84+E88+E92+E96+E103+E107+E111+E115+E119+E123+E127+E131)</f>
        <v>16132913</v>
      </c>
      <c r="F133" s="291">
        <f>SUM(F37+F39+F46+F53+F57+F61+F65+F69+F73+F77+F84+F88+F92+F96+F103+F107+F111+F115+F119+F123+F127+F131)</f>
        <v>20135219</v>
      </c>
      <c r="G133" s="292">
        <f t="shared" si="2"/>
        <v>1.2480832816739296</v>
      </c>
      <c r="I133" s="304"/>
    </row>
    <row r="134" spans="1:9" ht="30.75" customHeight="1">
      <c r="A134" s="656">
        <v>801</v>
      </c>
      <c r="B134" s="656">
        <v>80103</v>
      </c>
      <c r="C134" s="293">
        <v>2310</v>
      </c>
      <c r="D134" s="293" t="s">
        <v>328</v>
      </c>
      <c r="E134" s="280">
        <f>SUM(E135:E137)</f>
        <v>14145</v>
      </c>
      <c r="F134" s="280">
        <f>SUM(F135:F137)</f>
        <v>31680</v>
      </c>
      <c r="G134" s="281">
        <f t="shared" si="2"/>
        <v>2.23966065747614</v>
      </c>
    </row>
    <row r="135" spans="1:9" ht="19.5" customHeight="1">
      <c r="A135" s="657"/>
      <c r="B135" s="657"/>
      <c r="C135" s="454"/>
      <c r="D135" s="283" t="s">
        <v>586</v>
      </c>
      <c r="E135" s="284">
        <f>CUW!E41</f>
        <v>12480</v>
      </c>
      <c r="F135" s="284">
        <f>CUW!F41</f>
        <v>31680</v>
      </c>
      <c r="G135" s="285">
        <f>SUM(F135/E135)</f>
        <v>2.5384615384615383</v>
      </c>
    </row>
    <row r="136" spans="1:9" ht="19.5" customHeight="1">
      <c r="A136" s="794"/>
      <c r="B136" s="794"/>
      <c r="C136" s="770"/>
      <c r="D136" s="21" t="s">
        <v>700</v>
      </c>
      <c r="E136" s="284">
        <f>CUW!E42</f>
        <v>1665</v>
      </c>
      <c r="F136" s="284">
        <f>CUW!F42</f>
        <v>0</v>
      </c>
      <c r="G136" s="285">
        <f t="shared" si="2"/>
        <v>0</v>
      </c>
    </row>
    <row r="137" spans="1:9" ht="16.5" hidden="1" customHeight="1">
      <c r="A137" s="794"/>
      <c r="B137" s="794"/>
      <c r="C137" s="771"/>
      <c r="D137" s="283" t="s">
        <v>585</v>
      </c>
      <c r="E137" s="284">
        <f>SUM(CUW!E43)</f>
        <v>0</v>
      </c>
      <c r="F137" s="284">
        <f>SUM(CUW!F43)</f>
        <v>0</v>
      </c>
      <c r="G137" s="285" t="e">
        <f t="shared" si="2"/>
        <v>#DIV/0!</v>
      </c>
    </row>
    <row r="138" spans="1:9" ht="30" customHeight="1">
      <c r="A138" s="794"/>
      <c r="B138" s="794"/>
      <c r="C138" s="293">
        <v>4330</v>
      </c>
      <c r="D138" s="293" t="s">
        <v>316</v>
      </c>
      <c r="E138" s="280">
        <f>E139</f>
        <v>6335</v>
      </c>
      <c r="F138" s="280">
        <f>F139</f>
        <v>6000</v>
      </c>
      <c r="G138" s="281">
        <f t="shared" si="2"/>
        <v>0.94711917916337807</v>
      </c>
      <c r="I138" s="274"/>
    </row>
    <row r="139" spans="1:9" ht="17.25" customHeight="1">
      <c r="A139" s="795"/>
      <c r="B139" s="795"/>
      <c r="C139" s="289"/>
      <c r="D139" s="297" t="s">
        <v>398</v>
      </c>
      <c r="E139" s="284">
        <f>SUM(CUW!E45)</f>
        <v>6335</v>
      </c>
      <c r="F139" s="284">
        <f>CUW!F45</f>
        <v>6000</v>
      </c>
      <c r="G139" s="285">
        <f t="shared" si="2"/>
        <v>0.94711917916337807</v>
      </c>
    </row>
    <row r="140" spans="1:9" ht="16.5" customHeight="1">
      <c r="A140" s="287">
        <v>801</v>
      </c>
      <c r="B140" s="287">
        <v>80103</v>
      </c>
      <c r="C140" s="287">
        <v>3020</v>
      </c>
      <c r="D140" s="279" t="s">
        <v>347</v>
      </c>
      <c r="E140" s="280">
        <f>SUM(E141:E143)</f>
        <v>95811</v>
      </c>
      <c r="F140" s="280">
        <f>SUM(F141:F143)</f>
        <v>70750</v>
      </c>
      <c r="G140" s="281">
        <f t="shared" si="2"/>
        <v>0.73843295654987429</v>
      </c>
    </row>
    <row r="141" spans="1:9" ht="19.5" customHeight="1">
      <c r="A141" s="289"/>
      <c r="B141" s="287"/>
      <c r="C141" s="289"/>
      <c r="D141" s="21" t="s">
        <v>765</v>
      </c>
      <c r="E141" s="284">
        <f>'ZSO Kom'!E42</f>
        <v>13761</v>
      </c>
      <c r="F141" s="284">
        <f>'ZSO Kom'!F42</f>
        <v>12500</v>
      </c>
      <c r="G141" s="285">
        <f t="shared" si="2"/>
        <v>0.9083642177167357</v>
      </c>
    </row>
    <row r="142" spans="1:9" ht="20.25" customHeight="1">
      <c r="A142" s="289"/>
      <c r="B142" s="287"/>
      <c r="C142" s="289"/>
      <c r="D142" s="21" t="s">
        <v>767</v>
      </c>
      <c r="E142" s="284">
        <f>SUM('ZS Mich'!E44)</f>
        <v>45980</v>
      </c>
      <c r="F142" s="284">
        <f>SUM('ZS Mich'!F44)</f>
        <v>29000</v>
      </c>
      <c r="G142" s="285">
        <f t="shared" si="2"/>
        <v>0.63070900391474549</v>
      </c>
    </row>
    <row r="143" spans="1:9" ht="18" customHeight="1">
      <c r="A143" s="289"/>
      <c r="B143" s="287"/>
      <c r="C143" s="289"/>
      <c r="D143" s="21" t="s">
        <v>766</v>
      </c>
      <c r="E143" s="284">
        <f>SUM('ZSP NW'!E46)</f>
        <v>36070</v>
      </c>
      <c r="F143" s="284">
        <f>SUM('ZSP NW'!F46)</f>
        <v>29250</v>
      </c>
      <c r="G143" s="285">
        <f t="shared" si="2"/>
        <v>0.81092320487940117</v>
      </c>
    </row>
    <row r="144" spans="1:9">
      <c r="A144" s="289"/>
      <c r="B144" s="287"/>
      <c r="C144" s="287">
        <v>4010</v>
      </c>
      <c r="D144" s="279" t="s">
        <v>348</v>
      </c>
      <c r="E144" s="280">
        <f>SUM(E145:E150)</f>
        <v>1010261</v>
      </c>
      <c r="F144" s="280">
        <f>SUM(F145:F150)</f>
        <v>1012600</v>
      </c>
      <c r="G144" s="281">
        <f t="shared" si="2"/>
        <v>1.0023152432886155</v>
      </c>
    </row>
    <row r="145" spans="1:7" ht="27.75" customHeight="1">
      <c r="A145" s="289"/>
      <c r="B145" s="287"/>
      <c r="C145" s="289"/>
      <c r="D145" s="283" t="s">
        <v>677</v>
      </c>
      <c r="E145" s="284">
        <f>SUM('ZSO Kom'!E46)</f>
        <v>163391</v>
      </c>
      <c r="F145" s="284">
        <f>SUM('ZSO Kom'!F46)</f>
        <v>185500</v>
      </c>
      <c r="G145" s="285">
        <f t="shared" si="2"/>
        <v>1.1353134505572522</v>
      </c>
    </row>
    <row r="146" spans="1:7" ht="30" customHeight="1">
      <c r="A146" s="289"/>
      <c r="B146" s="287"/>
      <c r="C146" s="289"/>
      <c r="D146" s="283" t="s">
        <v>573</v>
      </c>
      <c r="E146" s="284">
        <f>SUM('ZS Mich'!E48)</f>
        <v>434600</v>
      </c>
      <c r="F146" s="284">
        <f>SUM('ZS Mich'!F48)</f>
        <v>393500</v>
      </c>
      <c r="G146" s="285">
        <f t="shared" si="2"/>
        <v>0.90543028071790155</v>
      </c>
    </row>
    <row r="147" spans="1:7" ht="28.5" customHeight="1">
      <c r="A147" s="289"/>
      <c r="B147" s="287"/>
      <c r="C147" s="289"/>
      <c r="D147" s="283" t="s">
        <v>678</v>
      </c>
      <c r="E147" s="284">
        <f>SUM('ZSP NW'!E50)</f>
        <v>405770</v>
      </c>
      <c r="F147" s="284">
        <f>SUM('ZSP NW'!F50)</f>
        <v>430100</v>
      </c>
      <c r="G147" s="285">
        <f t="shared" si="2"/>
        <v>1.0599600759050694</v>
      </c>
    </row>
    <row r="148" spans="1:7">
      <c r="A148" s="289"/>
      <c r="B148" s="287"/>
      <c r="C148" s="289"/>
      <c r="D148" s="283" t="s">
        <v>652</v>
      </c>
      <c r="E148" s="284">
        <f>SUM('ZSO Kom'!E47)</f>
        <v>500</v>
      </c>
      <c r="F148" s="284">
        <f>SUM('ZSO Kom'!F47)</f>
        <v>0</v>
      </c>
      <c r="G148" s="285">
        <f t="shared" si="2"/>
        <v>0</v>
      </c>
    </row>
    <row r="149" spans="1:7">
      <c r="A149" s="289"/>
      <c r="B149" s="287"/>
      <c r="C149" s="289"/>
      <c r="D149" s="21" t="s">
        <v>812</v>
      </c>
      <c r="E149" s="284">
        <f>SUM('ZS Mich'!E49)</f>
        <v>0</v>
      </c>
      <c r="F149" s="284">
        <f>SUM('ZS Mich'!F49)</f>
        <v>3500</v>
      </c>
      <c r="G149" s="285" t="e">
        <f t="shared" si="2"/>
        <v>#DIV/0!</v>
      </c>
    </row>
    <row r="150" spans="1:7">
      <c r="A150" s="289"/>
      <c r="B150" s="287"/>
      <c r="C150" s="289"/>
      <c r="D150" s="283" t="s">
        <v>651</v>
      </c>
      <c r="E150" s="284">
        <f>SUM('ZSP NW'!E51)</f>
        <v>6000</v>
      </c>
      <c r="F150" s="284">
        <f>SUM('ZSP NW'!F51)</f>
        <v>0</v>
      </c>
      <c r="G150" s="285">
        <f t="shared" si="2"/>
        <v>0</v>
      </c>
    </row>
    <row r="151" spans="1:7">
      <c r="A151" s="289"/>
      <c r="B151" s="287"/>
      <c r="C151" s="287">
        <v>4040</v>
      </c>
      <c r="D151" s="279" t="s">
        <v>349</v>
      </c>
      <c r="E151" s="280">
        <f>SUM(E152:E154)</f>
        <v>63500</v>
      </c>
      <c r="F151" s="280">
        <f>SUM(F152:F154)</f>
        <v>81500</v>
      </c>
      <c r="G151" s="281">
        <f t="shared" si="2"/>
        <v>1.2834645669291338</v>
      </c>
    </row>
    <row r="152" spans="1:7" ht="30">
      <c r="A152" s="289"/>
      <c r="B152" s="287"/>
      <c r="C152" s="289"/>
      <c r="D152" s="283" t="s">
        <v>146</v>
      </c>
      <c r="E152" s="284">
        <f>SUM('ZSO Kom'!E48)</f>
        <v>13500</v>
      </c>
      <c r="F152" s="284">
        <f>SUM('ZSO Kom'!F48)</f>
        <v>13500</v>
      </c>
      <c r="G152" s="285">
        <f t="shared" si="2"/>
        <v>1</v>
      </c>
    </row>
    <row r="153" spans="1:7" ht="29.25" customHeight="1">
      <c r="A153" s="289"/>
      <c r="B153" s="287"/>
      <c r="C153" s="289"/>
      <c r="D153" s="283" t="s">
        <v>285</v>
      </c>
      <c r="E153" s="284">
        <f>SUM('ZS Mich'!E50)</f>
        <v>25000</v>
      </c>
      <c r="F153" s="284">
        <f>SUM('ZS Mich'!F50)</f>
        <v>37000</v>
      </c>
      <c r="G153" s="285">
        <f t="shared" si="2"/>
        <v>1.48</v>
      </c>
    </row>
    <row r="154" spans="1:7" ht="31.5" customHeight="1">
      <c r="A154" s="289"/>
      <c r="B154" s="287"/>
      <c r="C154" s="289"/>
      <c r="D154" s="283" t="s">
        <v>344</v>
      </c>
      <c r="E154" s="284">
        <f>SUM('ZSP NW'!E52)</f>
        <v>25000</v>
      </c>
      <c r="F154" s="284">
        <f>SUM('ZSP NW'!F52)</f>
        <v>31000</v>
      </c>
      <c r="G154" s="285">
        <f t="shared" si="2"/>
        <v>1.24</v>
      </c>
    </row>
    <row r="155" spans="1:7">
      <c r="A155" s="289"/>
      <c r="B155" s="287"/>
      <c r="C155" s="287">
        <v>4110</v>
      </c>
      <c r="D155" s="279" t="s">
        <v>446</v>
      </c>
      <c r="E155" s="280">
        <f>SUM(E156:E158)</f>
        <v>197157</v>
      </c>
      <c r="F155" s="280">
        <f>SUM(F156:F158)</f>
        <v>206700</v>
      </c>
      <c r="G155" s="281">
        <f t="shared" si="2"/>
        <v>1.04840304934646</v>
      </c>
    </row>
    <row r="156" spans="1:7">
      <c r="A156" s="289"/>
      <c r="B156" s="287"/>
      <c r="C156" s="289"/>
      <c r="D156" s="283" t="s">
        <v>447</v>
      </c>
      <c r="E156" s="284">
        <f>SUM('ZSO Kom'!E49)</f>
        <v>34477</v>
      </c>
      <c r="F156" s="284">
        <f>SUM('ZSO Kom'!F49)</f>
        <v>37000</v>
      </c>
      <c r="G156" s="285">
        <f t="shared" si="2"/>
        <v>1.0731792209298954</v>
      </c>
    </row>
    <row r="157" spans="1:7">
      <c r="A157" s="289"/>
      <c r="B157" s="287"/>
      <c r="C157" s="289"/>
      <c r="D157" s="283" t="s">
        <v>448</v>
      </c>
      <c r="E157" s="284">
        <f>SUM('ZS Mich'!E51)</f>
        <v>90790</v>
      </c>
      <c r="F157" s="284">
        <f>SUM('ZS Mich'!F51)</f>
        <v>82000</v>
      </c>
      <c r="G157" s="285">
        <f t="shared" si="2"/>
        <v>0.90318316995263792</v>
      </c>
    </row>
    <row r="158" spans="1:7">
      <c r="A158" s="289"/>
      <c r="B158" s="287"/>
      <c r="C158" s="289"/>
      <c r="D158" s="283" t="s">
        <v>258</v>
      </c>
      <c r="E158" s="284">
        <f>SUM('ZSP NW'!E53)</f>
        <v>71890</v>
      </c>
      <c r="F158" s="284">
        <f>SUM('ZSP NW'!F53)</f>
        <v>87700</v>
      </c>
      <c r="G158" s="285">
        <f t="shared" si="2"/>
        <v>1.219919321185144</v>
      </c>
    </row>
    <row r="159" spans="1:7">
      <c r="A159" s="289"/>
      <c r="B159" s="287"/>
      <c r="C159" s="287">
        <v>4120</v>
      </c>
      <c r="D159" s="279" t="s">
        <v>301</v>
      </c>
      <c r="E159" s="280">
        <f>SUM(E160:E162)</f>
        <v>23810</v>
      </c>
      <c r="F159" s="280">
        <f>SUM(F160:F162)</f>
        <v>24470</v>
      </c>
      <c r="G159" s="281">
        <f t="shared" si="2"/>
        <v>1.0277194456110879</v>
      </c>
    </row>
    <row r="160" spans="1:7">
      <c r="A160" s="289"/>
      <c r="B160" s="287"/>
      <c r="C160" s="289"/>
      <c r="D160" s="283" t="s">
        <v>268</v>
      </c>
      <c r="E160" s="284">
        <f>SUM('ZSO Kom'!E50)</f>
        <v>4380</v>
      </c>
      <c r="F160" s="284">
        <f>SUM('ZSO Kom'!F50)</f>
        <v>4800</v>
      </c>
      <c r="G160" s="285">
        <f t="shared" si="2"/>
        <v>1.095890410958904</v>
      </c>
    </row>
    <row r="161" spans="1:9">
      <c r="A161" s="289"/>
      <c r="B161" s="287"/>
      <c r="C161" s="289"/>
      <c r="D161" s="283" t="s">
        <v>269</v>
      </c>
      <c r="E161" s="284">
        <f>SUM('ZS Mich'!E52)</f>
        <v>11230</v>
      </c>
      <c r="F161" s="284">
        <f>SUM('ZS Mich'!F52)</f>
        <v>10000</v>
      </c>
      <c r="G161" s="285">
        <f t="shared" ref="G161:G265" si="3">SUM(F161/E161)</f>
        <v>0.89047195013357083</v>
      </c>
    </row>
    <row r="162" spans="1:9">
      <c r="A162" s="289"/>
      <c r="B162" s="287"/>
      <c r="C162" s="289"/>
      <c r="D162" s="283" t="s">
        <v>270</v>
      </c>
      <c r="E162" s="284">
        <f>SUM('ZSP NW'!E54)</f>
        <v>8200</v>
      </c>
      <c r="F162" s="284">
        <f>SUM('ZSP NW'!F54)</f>
        <v>9670</v>
      </c>
      <c r="G162" s="285">
        <f t="shared" si="3"/>
        <v>1.1792682926829268</v>
      </c>
    </row>
    <row r="163" spans="1:9">
      <c r="A163" s="289"/>
      <c r="B163" s="287"/>
      <c r="C163" s="287">
        <v>4190</v>
      </c>
      <c r="D163" s="279" t="s">
        <v>452</v>
      </c>
      <c r="E163" s="284">
        <f>E166</f>
        <v>300</v>
      </c>
      <c r="F163" s="284">
        <f>F166</f>
        <v>300</v>
      </c>
      <c r="G163" s="285">
        <f t="shared" si="3"/>
        <v>1</v>
      </c>
    </row>
    <row r="164" spans="1:9" hidden="1">
      <c r="A164" s="289"/>
      <c r="B164" s="287"/>
      <c r="C164" s="287"/>
      <c r="D164" s="283" t="s">
        <v>497</v>
      </c>
      <c r="E164" s="284"/>
      <c r="F164" s="284"/>
      <c r="G164" s="285" t="e">
        <f t="shared" si="3"/>
        <v>#DIV/0!</v>
      </c>
    </row>
    <row r="165" spans="1:9" hidden="1">
      <c r="A165" s="289"/>
      <c r="B165" s="287"/>
      <c r="C165" s="287"/>
      <c r="D165" s="283" t="s">
        <v>498</v>
      </c>
      <c r="E165" s="284">
        <f>'ZS Mich'!E53</f>
        <v>0</v>
      </c>
      <c r="F165" s="284">
        <f>'ZS Mich'!F53</f>
        <v>0</v>
      </c>
      <c r="G165" s="285" t="e">
        <f t="shared" si="3"/>
        <v>#DIV/0!</v>
      </c>
    </row>
    <row r="166" spans="1:9">
      <c r="A166" s="289"/>
      <c r="B166" s="287"/>
      <c r="C166" s="289"/>
      <c r="D166" s="283" t="s">
        <v>290</v>
      </c>
      <c r="E166" s="284">
        <f>'ZSP NW'!E55</f>
        <v>300</v>
      </c>
      <c r="F166" s="284">
        <f>'ZSP NW'!F56</f>
        <v>300</v>
      </c>
      <c r="G166" s="285">
        <f t="shared" si="3"/>
        <v>1</v>
      </c>
    </row>
    <row r="167" spans="1:9">
      <c r="A167" s="289"/>
      <c r="B167" s="287"/>
      <c r="C167" s="287">
        <v>4210</v>
      </c>
      <c r="D167" s="279" t="s">
        <v>274</v>
      </c>
      <c r="E167" s="280">
        <f>SUM(E168+E169+E170)</f>
        <v>27600</v>
      </c>
      <c r="F167" s="280">
        <f>SUM(F168+F169+F170)</f>
        <v>7500</v>
      </c>
      <c r="G167" s="281">
        <f t="shared" si="3"/>
        <v>0.27173913043478259</v>
      </c>
      <c r="I167" s="298"/>
    </row>
    <row r="168" spans="1:9" ht="18.75" customHeight="1">
      <c r="A168" s="289"/>
      <c r="B168" s="287"/>
      <c r="C168" s="289"/>
      <c r="D168" s="283" t="s">
        <v>575</v>
      </c>
      <c r="E168" s="284">
        <f>SUM('ZSO Kom'!E54)</f>
        <v>6000</v>
      </c>
      <c r="F168" s="284">
        <f>SUM('ZSO Kom'!F54)</f>
        <v>1000</v>
      </c>
      <c r="G168" s="285">
        <f t="shared" si="3"/>
        <v>0.16666666666666666</v>
      </c>
    </row>
    <row r="169" spans="1:9" ht="20.25" customHeight="1">
      <c r="A169" s="289"/>
      <c r="B169" s="287"/>
      <c r="C169" s="289"/>
      <c r="D169" s="297" t="s">
        <v>574</v>
      </c>
      <c r="E169" s="284">
        <f>SUM('ZS Mich'!E56)</f>
        <v>3500</v>
      </c>
      <c r="F169" s="284">
        <f>SUM('ZS Mich'!F56)</f>
        <v>3500</v>
      </c>
      <c r="G169" s="285">
        <f t="shared" si="3"/>
        <v>1</v>
      </c>
    </row>
    <row r="170" spans="1:9" ht="19.5" customHeight="1">
      <c r="A170" s="289"/>
      <c r="B170" s="287"/>
      <c r="C170" s="289"/>
      <c r="D170" s="283" t="s">
        <v>153</v>
      </c>
      <c r="E170" s="284">
        <f>SUM('ZSP NW'!E58)</f>
        <v>18100</v>
      </c>
      <c r="F170" s="284">
        <f>SUM('ZSP NW'!F58)</f>
        <v>3000</v>
      </c>
      <c r="G170" s="285">
        <f t="shared" si="3"/>
        <v>0.16574585635359115</v>
      </c>
    </row>
    <row r="171" spans="1:9">
      <c r="A171" s="289"/>
      <c r="B171" s="287"/>
      <c r="C171" s="287">
        <v>4240</v>
      </c>
      <c r="D171" s="279" t="s">
        <v>179</v>
      </c>
      <c r="E171" s="280">
        <f>SUM(E172:E174)</f>
        <v>15100</v>
      </c>
      <c r="F171" s="280">
        <f>SUM(F172:F174)</f>
        <v>14900</v>
      </c>
      <c r="G171" s="281">
        <f t="shared" si="3"/>
        <v>0.98675496688741726</v>
      </c>
      <c r="I171" s="298"/>
    </row>
    <row r="172" spans="1:9" ht="19.149999999999999" customHeight="1">
      <c r="A172" s="289"/>
      <c r="B172" s="287"/>
      <c r="C172" s="289"/>
      <c r="D172" s="283" t="s">
        <v>180</v>
      </c>
      <c r="E172" s="284">
        <f>SUM('ZSO Kom'!E55)</f>
        <v>5000</v>
      </c>
      <c r="F172" s="284">
        <f>SUM('ZSO Kom'!F55)</f>
        <v>3500</v>
      </c>
      <c r="G172" s="285">
        <f t="shared" si="3"/>
        <v>0.7</v>
      </c>
    </row>
    <row r="173" spans="1:9" ht="18.75" customHeight="1">
      <c r="A173" s="289"/>
      <c r="B173" s="287"/>
      <c r="C173" s="289"/>
      <c r="D173" s="283" t="s">
        <v>333</v>
      </c>
      <c r="E173" s="284">
        <f>SUM('ZS Mich'!E57)</f>
        <v>5100</v>
      </c>
      <c r="F173" s="284">
        <f>SUM('ZS Mich'!F57)</f>
        <v>5400</v>
      </c>
      <c r="G173" s="285">
        <f t="shared" si="3"/>
        <v>1.0588235294117647</v>
      </c>
    </row>
    <row r="174" spans="1:9" ht="16.5" customHeight="1">
      <c r="A174" s="289"/>
      <c r="B174" s="287"/>
      <c r="C174" s="289"/>
      <c r="D174" s="283" t="s">
        <v>202</v>
      </c>
      <c r="E174" s="284">
        <f>'ZSP NW'!E59</f>
        <v>5000</v>
      </c>
      <c r="F174" s="284">
        <f>'ZSP NW'!F59</f>
        <v>6000</v>
      </c>
      <c r="G174" s="285">
        <f t="shared" si="3"/>
        <v>1.2</v>
      </c>
    </row>
    <row r="175" spans="1:9" ht="18.75" customHeight="1">
      <c r="A175" s="289"/>
      <c r="B175" s="287"/>
      <c r="C175" s="287">
        <v>4300</v>
      </c>
      <c r="D175" s="279" t="s">
        <v>100</v>
      </c>
      <c r="E175" s="280">
        <f>SUM(E176:E178)</f>
        <v>500</v>
      </c>
      <c r="F175" s="280">
        <f>SUM(F176:F178)</f>
        <v>500</v>
      </c>
      <c r="G175" s="281">
        <f t="shared" si="3"/>
        <v>1</v>
      </c>
    </row>
    <row r="176" spans="1:9" ht="17.25" customHeight="1">
      <c r="A176" s="289"/>
      <c r="B176" s="287"/>
      <c r="C176" s="289"/>
      <c r="D176" s="21" t="s">
        <v>843</v>
      </c>
      <c r="E176" s="284">
        <f>'ZSO Kom'!E56</f>
        <v>500</v>
      </c>
      <c r="F176" s="284">
        <f>'ZSO Kom'!F56</f>
        <v>500</v>
      </c>
      <c r="G176" s="285">
        <f t="shared" si="3"/>
        <v>1</v>
      </c>
    </row>
    <row r="177" spans="1:11" ht="18" hidden="1" customHeight="1">
      <c r="A177" s="289"/>
      <c r="B177" s="287"/>
      <c r="C177" s="289"/>
      <c r="D177" s="283" t="s">
        <v>212</v>
      </c>
      <c r="E177" s="284">
        <f>'ZS Mich'!E58</f>
        <v>0</v>
      </c>
      <c r="F177" s="284">
        <f>'ZS Mich'!F58</f>
        <v>0</v>
      </c>
      <c r="G177" s="285" t="e">
        <f t="shared" si="3"/>
        <v>#DIV/0!</v>
      </c>
    </row>
    <row r="178" spans="1:11" ht="17.25" hidden="1" customHeight="1">
      <c r="A178" s="289"/>
      <c r="B178" s="287"/>
      <c r="C178" s="289"/>
      <c r="D178" s="283" t="s">
        <v>214</v>
      </c>
      <c r="E178" s="284">
        <f>'ZSP NW'!E60</f>
        <v>0</v>
      </c>
      <c r="F178" s="284">
        <f>'ZSP NW'!F60</f>
        <v>0</v>
      </c>
      <c r="G178" s="285" t="e">
        <f t="shared" si="3"/>
        <v>#DIV/0!</v>
      </c>
    </row>
    <row r="179" spans="1:11">
      <c r="A179" s="289"/>
      <c r="B179" s="287"/>
      <c r="C179" s="287">
        <v>4440</v>
      </c>
      <c r="D179" s="279" t="s">
        <v>317</v>
      </c>
      <c r="E179" s="280">
        <f>SUM(E180:E182)</f>
        <v>55082</v>
      </c>
      <c r="F179" s="280">
        <f>SUM(F180:F182)</f>
        <v>64081</v>
      </c>
      <c r="G179" s="281">
        <f t="shared" si="3"/>
        <v>1.1633746051341636</v>
      </c>
    </row>
    <row r="180" spans="1:11" ht="18.75" customHeight="1">
      <c r="A180" s="289"/>
      <c r="B180" s="287"/>
      <c r="C180" s="289"/>
      <c r="D180" s="283" t="s">
        <v>329</v>
      </c>
      <c r="E180" s="284">
        <f>SUM('ZSO Kom'!E58)</f>
        <v>10889</v>
      </c>
      <c r="F180" s="284">
        <f>SUM('ZSO Kom'!F58)</f>
        <v>14607</v>
      </c>
      <c r="G180" s="285">
        <f t="shared" si="3"/>
        <v>1.3414454954541279</v>
      </c>
    </row>
    <row r="181" spans="1:11" ht="21" customHeight="1">
      <c r="A181" s="289"/>
      <c r="B181" s="287"/>
      <c r="C181" s="289"/>
      <c r="D181" s="283" t="s">
        <v>420</v>
      </c>
      <c r="E181" s="284">
        <f>SUM('ZS Mich'!E60)</f>
        <v>23678</v>
      </c>
      <c r="F181" s="284">
        <f>SUM('ZS Mich'!F60)</f>
        <v>23606</v>
      </c>
      <c r="G181" s="285">
        <f t="shared" si="3"/>
        <v>0.99695920263535776</v>
      </c>
    </row>
    <row r="182" spans="1:11" ht="18.75" customHeight="1">
      <c r="A182" s="289"/>
      <c r="B182" s="287"/>
      <c r="C182" s="289"/>
      <c r="D182" s="283" t="s">
        <v>422</v>
      </c>
      <c r="E182" s="284">
        <f>SUM('ZSP NW'!E62)</f>
        <v>20515</v>
      </c>
      <c r="F182" s="284">
        <f>SUM('ZSP NW'!F62)</f>
        <v>25868</v>
      </c>
      <c r="G182" s="285">
        <f t="shared" si="3"/>
        <v>1.2609310260784792</v>
      </c>
    </row>
    <row r="183" spans="1:11">
      <c r="A183" s="664" t="s">
        <v>129</v>
      </c>
      <c r="B183" s="660"/>
      <c r="C183" s="660"/>
      <c r="D183" s="661"/>
      <c r="E183" s="291">
        <f>SUM(E134+E138+E140+E144+E151+E155+E159+E163+E167+E171+E175+E179)</f>
        <v>1509601</v>
      </c>
      <c r="F183" s="291">
        <f>SUM(F134+F138+F140+F144+F151+F155+F159+F163+F167+F171+F175+F179)</f>
        <v>1520981</v>
      </c>
      <c r="G183" s="292">
        <f t="shared" si="3"/>
        <v>1.0075384157800638</v>
      </c>
      <c r="I183" s="304"/>
      <c r="J183" s="298"/>
      <c r="K183" s="274"/>
    </row>
    <row r="184" spans="1:11" ht="19.5" customHeight="1">
      <c r="A184" s="289">
        <v>801</v>
      </c>
      <c r="B184" s="287">
        <v>80104</v>
      </c>
      <c r="C184" s="287">
        <v>2540</v>
      </c>
      <c r="D184" s="18" t="s">
        <v>530</v>
      </c>
      <c r="E184" s="280">
        <f>SUM(E185:E205)</f>
        <v>3908543</v>
      </c>
      <c r="F184" s="280">
        <f>SUM(F185:F205)</f>
        <v>4164213</v>
      </c>
      <c r="G184" s="281">
        <f t="shared" si="3"/>
        <v>1.0654131219740963</v>
      </c>
      <c r="I184" s="298"/>
    </row>
    <row r="185" spans="1:11" ht="16.149999999999999" customHeight="1">
      <c r="A185" s="289"/>
      <c r="B185" s="287"/>
      <c r="C185" s="289"/>
      <c r="D185" s="283" t="s">
        <v>416</v>
      </c>
      <c r="E185" s="284">
        <f>SUM(CUW!E48)</f>
        <v>647664</v>
      </c>
      <c r="F185" s="284">
        <f>SUM(CUW!F48)</f>
        <v>790562</v>
      </c>
      <c r="G185" s="285">
        <f t="shared" si="3"/>
        <v>1.2206360087946837</v>
      </c>
    </row>
    <row r="186" spans="1:11">
      <c r="A186" s="289"/>
      <c r="B186" s="287"/>
      <c r="C186" s="289"/>
      <c r="D186" s="283" t="s">
        <v>417</v>
      </c>
      <c r="E186" s="284">
        <f>SUM(CUW!E49)</f>
        <v>308334</v>
      </c>
      <c r="F186" s="284">
        <f>SUM(CUW!F49)</f>
        <v>357211</v>
      </c>
      <c r="G186" s="285">
        <f t="shared" si="3"/>
        <v>1.1585196572547951</v>
      </c>
    </row>
    <row r="187" spans="1:11">
      <c r="A187" s="289"/>
      <c r="B187" s="287"/>
      <c r="C187" s="289"/>
      <c r="D187" s="283" t="s">
        <v>265</v>
      </c>
      <c r="E187" s="284">
        <f>SUM(CUW!E50)</f>
        <v>47142</v>
      </c>
      <c r="F187" s="284">
        <f>SUM(CUW!F50)</f>
        <v>67644</v>
      </c>
      <c r="G187" s="285">
        <f t="shared" si="3"/>
        <v>1.4348988163421152</v>
      </c>
    </row>
    <row r="188" spans="1:11">
      <c r="A188" s="289"/>
      <c r="B188" s="287"/>
      <c r="C188" s="289"/>
      <c r="D188" s="283" t="s">
        <v>587</v>
      </c>
      <c r="E188" s="284">
        <f>SUM(CUW!E51)</f>
        <v>394661</v>
      </c>
      <c r="F188" s="284">
        <f>SUM(CUW!F51)</f>
        <v>367221</v>
      </c>
      <c r="G188" s="285">
        <f t="shared" si="3"/>
        <v>0.93047197468206888</v>
      </c>
    </row>
    <row r="189" spans="1:11">
      <c r="A189" s="289"/>
      <c r="B189" s="287"/>
      <c r="C189" s="289"/>
      <c r="D189" s="289" t="s">
        <v>11</v>
      </c>
      <c r="E189" s="284">
        <f>SUM(CUW!E52)</f>
        <v>598974</v>
      </c>
      <c r="F189" s="284">
        <f>SUM(CUW!F52)</f>
        <v>690461</v>
      </c>
      <c r="G189" s="285">
        <f t="shared" si="3"/>
        <v>1.1527395179089577</v>
      </c>
    </row>
    <row r="190" spans="1:11" ht="16.5" customHeight="1">
      <c r="A190" s="289"/>
      <c r="B190" s="287"/>
      <c r="C190" s="289"/>
      <c r="D190" s="306" t="s">
        <v>79</v>
      </c>
      <c r="E190" s="284">
        <f>SUM(CUW!E53)</f>
        <v>94893</v>
      </c>
      <c r="F190" s="284">
        <f>SUM(CUW!F53)</f>
        <v>122092</v>
      </c>
      <c r="G190" s="285">
        <f t="shared" si="3"/>
        <v>1.2866280969091504</v>
      </c>
    </row>
    <row r="191" spans="1:11" ht="16.5" customHeight="1">
      <c r="A191" s="289"/>
      <c r="B191" s="287"/>
      <c r="C191" s="289"/>
      <c r="D191" s="297" t="s">
        <v>518</v>
      </c>
      <c r="E191" s="284">
        <f>SUM(CUW!E54)</f>
        <v>76058</v>
      </c>
      <c r="F191" s="284">
        <f>SUM(CUW!F54)</f>
        <v>139874</v>
      </c>
      <c r="G191" s="285">
        <f t="shared" si="3"/>
        <v>1.8390438875594941</v>
      </c>
    </row>
    <row r="192" spans="1:11" ht="16.5" customHeight="1">
      <c r="A192" s="289"/>
      <c r="B192" s="287"/>
      <c r="C192" s="289"/>
      <c r="D192" s="306" t="s">
        <v>424</v>
      </c>
      <c r="E192" s="284">
        <f>SUM(CUW!E55+CUW!E56)</f>
        <v>310040</v>
      </c>
      <c r="F192" s="284">
        <f>SUM(CUW!F55+CUW!F56)</f>
        <v>214075</v>
      </c>
      <c r="G192" s="285">
        <f t="shared" si="3"/>
        <v>0.6904754225261257</v>
      </c>
    </row>
    <row r="193" spans="1:7" ht="16.5" hidden="1" customHeight="1">
      <c r="A193" s="289"/>
      <c r="B193" s="287"/>
      <c r="C193" s="289"/>
      <c r="D193" s="306" t="s">
        <v>424</v>
      </c>
      <c r="E193" s="284">
        <v>0</v>
      </c>
      <c r="F193" s="284">
        <v>0</v>
      </c>
      <c r="G193" s="285" t="e">
        <f t="shared" si="3"/>
        <v>#DIV/0!</v>
      </c>
    </row>
    <row r="194" spans="1:7" ht="16.5" customHeight="1">
      <c r="A194" s="289"/>
      <c r="B194" s="287"/>
      <c r="C194" s="289"/>
      <c r="D194" s="306" t="s">
        <v>313</v>
      </c>
      <c r="E194" s="284">
        <f>SUM(CUW!E57)</f>
        <v>167867</v>
      </c>
      <c r="F194" s="284">
        <f>SUM(CUW!F57)</f>
        <v>189735</v>
      </c>
      <c r="G194" s="285">
        <f>SUM(F194/E194)</f>
        <v>1.1302697969225637</v>
      </c>
    </row>
    <row r="195" spans="1:7" ht="16.5" customHeight="1">
      <c r="A195" s="289"/>
      <c r="B195" s="287"/>
      <c r="C195" s="289"/>
      <c r="D195" s="306" t="s">
        <v>638</v>
      </c>
      <c r="E195" s="284">
        <f>SUM(CUW!E58)</f>
        <v>224450</v>
      </c>
      <c r="F195" s="284">
        <f>SUM(CUW!F58)</f>
        <v>196939</v>
      </c>
      <c r="G195" s="285">
        <f>SUM(F195/E195)</f>
        <v>0.87742927155268435</v>
      </c>
    </row>
    <row r="196" spans="1:7" ht="16.5" customHeight="1">
      <c r="A196" s="289"/>
      <c r="B196" s="287"/>
      <c r="C196" s="289"/>
      <c r="D196" s="283" t="s">
        <v>509</v>
      </c>
      <c r="E196" s="284">
        <f>SUM(CUW!E59)</f>
        <v>206870</v>
      </c>
      <c r="F196" s="284">
        <f>SUM(CUW!F59)</f>
        <v>210450</v>
      </c>
      <c r="G196" s="285">
        <f t="shared" si="3"/>
        <v>1.0173055542127907</v>
      </c>
    </row>
    <row r="197" spans="1:7" ht="16.5" customHeight="1">
      <c r="A197" s="289"/>
      <c r="B197" s="287"/>
      <c r="C197" s="289"/>
      <c r="D197" s="283" t="s">
        <v>510</v>
      </c>
      <c r="E197" s="284">
        <f>SUM(CUW!E60)</f>
        <v>123300</v>
      </c>
      <c r="F197" s="284">
        <f>SUM(CUW!F60)</f>
        <v>133285</v>
      </c>
      <c r="G197" s="285">
        <f t="shared" si="3"/>
        <v>1.0809813463098135</v>
      </c>
    </row>
    <row r="198" spans="1:7" ht="17.25" customHeight="1">
      <c r="A198" s="289"/>
      <c r="B198" s="287"/>
      <c r="C198" s="289"/>
      <c r="D198" s="283" t="s">
        <v>511</v>
      </c>
      <c r="E198" s="284">
        <f>SUM(CUW!E61)</f>
        <v>21920</v>
      </c>
      <c r="F198" s="284">
        <f>SUM(CUW!F61)</f>
        <v>22448</v>
      </c>
      <c r="G198" s="285">
        <f t="shared" si="3"/>
        <v>1.024087591240876</v>
      </c>
    </row>
    <row r="199" spans="1:7" ht="16.5" customHeight="1">
      <c r="A199" s="289"/>
      <c r="B199" s="287"/>
      <c r="C199" s="289"/>
      <c r="D199" s="283" t="s">
        <v>512</v>
      </c>
      <c r="E199" s="284">
        <f>SUM(CUW!E62)</f>
        <v>123300</v>
      </c>
      <c r="F199" s="284">
        <f>SUM(CUW!F62)</f>
        <v>133285</v>
      </c>
      <c r="G199" s="285">
        <f t="shared" si="3"/>
        <v>1.0809813463098135</v>
      </c>
    </row>
    <row r="200" spans="1:7" ht="16.5" customHeight="1">
      <c r="A200" s="289"/>
      <c r="B200" s="287"/>
      <c r="C200" s="289"/>
      <c r="D200" s="289" t="s">
        <v>517</v>
      </c>
      <c r="E200" s="284">
        <f>SUM(CUW!E63)</f>
        <v>252070</v>
      </c>
      <c r="F200" s="284">
        <f>SUM(CUW!F63)</f>
        <v>210450</v>
      </c>
      <c r="G200" s="285">
        <f t="shared" si="3"/>
        <v>0.83488713452612373</v>
      </c>
    </row>
    <row r="201" spans="1:7" ht="16.5" customHeight="1">
      <c r="A201" s="289"/>
      <c r="B201" s="287"/>
      <c r="C201" s="289"/>
      <c r="D201" s="306" t="s">
        <v>516</v>
      </c>
      <c r="E201" s="284">
        <f>SUM(CUW!E64)</f>
        <v>13700</v>
      </c>
      <c r="F201" s="284">
        <f>SUM(CUW!F64)</f>
        <v>28060</v>
      </c>
      <c r="G201" s="285">
        <f t="shared" si="3"/>
        <v>2.048175182481752</v>
      </c>
    </row>
    <row r="202" spans="1:7" ht="16.5" customHeight="1">
      <c r="A202" s="289"/>
      <c r="B202" s="287"/>
      <c r="C202" s="289"/>
      <c r="D202" s="297" t="s">
        <v>513</v>
      </c>
      <c r="E202" s="284">
        <f>SUM(CUW!E65)</f>
        <v>54800</v>
      </c>
      <c r="F202" s="284">
        <f>SUM(CUW!F65)</f>
        <v>60329</v>
      </c>
      <c r="G202" s="285">
        <f t="shared" si="3"/>
        <v>1.1008941605839415</v>
      </c>
    </row>
    <row r="203" spans="1:7" ht="16.5" customHeight="1">
      <c r="A203" s="289"/>
      <c r="B203" s="287"/>
      <c r="C203" s="289"/>
      <c r="D203" s="306" t="s">
        <v>514</v>
      </c>
      <c r="E203" s="284">
        <f>SUM(CUW!E66)</f>
        <v>123300</v>
      </c>
      <c r="F203" s="284">
        <f>SUM(CUW!F66)</f>
        <v>126270</v>
      </c>
      <c r="G203" s="285">
        <f t="shared" si="3"/>
        <v>1.024087591240876</v>
      </c>
    </row>
    <row r="204" spans="1:7" ht="16.5" customHeight="1">
      <c r="A204" s="289"/>
      <c r="B204" s="287"/>
      <c r="C204" s="289"/>
      <c r="D204" s="306" t="s">
        <v>515</v>
      </c>
      <c r="E204" s="284">
        <f>SUM(CUW!E67)</f>
        <v>79200</v>
      </c>
      <c r="F204" s="284">
        <f>SUM(CUW!F67)</f>
        <v>50508</v>
      </c>
      <c r="G204" s="285">
        <f t="shared" si="3"/>
        <v>0.6377272727272727</v>
      </c>
    </row>
    <row r="205" spans="1:7" ht="16.5" customHeight="1">
      <c r="A205" s="289"/>
      <c r="B205" s="287"/>
      <c r="C205" s="289"/>
      <c r="D205" s="306" t="s">
        <v>639</v>
      </c>
      <c r="E205" s="284">
        <f>SUM(CUW!E68)</f>
        <v>40000</v>
      </c>
      <c r="F205" s="284">
        <f>SUM(CUW!F68)</f>
        <v>53314</v>
      </c>
      <c r="G205" s="285">
        <f t="shared" si="3"/>
        <v>1.3328500000000001</v>
      </c>
    </row>
    <row r="206" spans="1:7" ht="31.5" customHeight="1">
      <c r="A206" s="289"/>
      <c r="B206" s="287"/>
      <c r="C206" s="293">
        <v>2310</v>
      </c>
      <c r="D206" s="293" t="s">
        <v>328</v>
      </c>
      <c r="E206" s="280">
        <f>SUM(E207:E219)</f>
        <v>849700</v>
      </c>
      <c r="F206" s="280">
        <f>SUM(F207:F219)</f>
        <v>1015920</v>
      </c>
      <c r="G206" s="281">
        <f>SUM(F206/E206)</f>
        <v>1.1956219842297282</v>
      </c>
    </row>
    <row r="207" spans="1:7" ht="18.75" customHeight="1">
      <c r="A207" s="289"/>
      <c r="B207" s="287"/>
      <c r="C207" s="293"/>
      <c r="D207" s="297" t="str">
        <f>CUW!D70</f>
        <v xml:space="preserve">Przedszkola niepubliczne w Warszawie           </v>
      </c>
      <c r="E207" s="284">
        <f>CUW!E70</f>
        <v>467495</v>
      </c>
      <c r="F207" s="301">
        <f>CUW!F70</f>
        <v>526800</v>
      </c>
      <c r="G207" s="285">
        <f t="shared" ref="G207:G219" si="4">SUM(F207/E207)</f>
        <v>1.126856971732318</v>
      </c>
    </row>
    <row r="208" spans="1:7" ht="20.25" customHeight="1">
      <c r="A208" s="289"/>
      <c r="B208" s="287"/>
      <c r="C208" s="293"/>
      <c r="D208" s="297" t="str">
        <f>CUW!D71</f>
        <v>Przedszkola niepubliczne w  Pruszkowie</v>
      </c>
      <c r="E208" s="284">
        <f>CUW!E71</f>
        <v>228000</v>
      </c>
      <c r="F208" s="301">
        <f>CUW!F71</f>
        <v>262800</v>
      </c>
      <c r="G208" s="285">
        <f t="shared" si="4"/>
        <v>1.1526315789473685</v>
      </c>
    </row>
    <row r="209" spans="1:11" ht="19.5" customHeight="1">
      <c r="A209" s="289"/>
      <c r="B209" s="287"/>
      <c r="C209" s="293"/>
      <c r="D209" s="297" t="str">
        <f>CUW!D72</f>
        <v>Przedszkola niepubliczne w Piastowie</v>
      </c>
      <c r="E209" s="284">
        <f>CUW!E72</f>
        <v>12960</v>
      </c>
      <c r="F209" s="301">
        <f>CUW!F72</f>
        <v>21600</v>
      </c>
      <c r="G209" s="285">
        <f t="shared" si="4"/>
        <v>1.6666666666666667</v>
      </c>
    </row>
    <row r="210" spans="1:11" ht="21" customHeight="1">
      <c r="A210" s="289"/>
      <c r="B210" s="287"/>
      <c r="C210" s="293"/>
      <c r="D210" s="297" t="str">
        <f>CUW!D73</f>
        <v>Przedszkola niepubliczne w Nadarzynie</v>
      </c>
      <c r="E210" s="284">
        <f>CUW!E73</f>
        <v>30240</v>
      </c>
      <c r="F210" s="301">
        <f>CUW!F73</f>
        <v>92160</v>
      </c>
      <c r="G210" s="285">
        <f t="shared" si="4"/>
        <v>3.0476190476190474</v>
      </c>
    </row>
    <row r="211" spans="1:11" ht="19.5" customHeight="1">
      <c r="A211" s="289"/>
      <c r="B211" s="287"/>
      <c r="C211" s="293"/>
      <c r="D211" s="297" t="str">
        <f>CUW!D74</f>
        <v>Przedszkola niepubliczne w Brwinowie</v>
      </c>
      <c r="E211" s="284">
        <f>CUW!E74</f>
        <v>32640</v>
      </c>
      <c r="F211" s="301">
        <f>CUW!F74</f>
        <v>33120</v>
      </c>
      <c r="G211" s="285">
        <f t="shared" si="4"/>
        <v>1.0147058823529411</v>
      </c>
    </row>
    <row r="212" spans="1:11" ht="16.5" customHeight="1">
      <c r="A212" s="289"/>
      <c r="B212" s="287"/>
      <c r="C212" s="293"/>
      <c r="D212" s="297" t="str">
        <f>CUW!D75</f>
        <v xml:space="preserve">Przedszkola niepubliczne w  Raszynie          </v>
      </c>
      <c r="E212" s="284">
        <f>CUW!E75</f>
        <v>38240</v>
      </c>
      <c r="F212" s="301">
        <f>CUW!F75</f>
        <v>54600</v>
      </c>
      <c r="G212" s="285">
        <f t="shared" si="4"/>
        <v>1.4278242677824269</v>
      </c>
    </row>
    <row r="213" spans="1:11" ht="16.5" customHeight="1">
      <c r="A213" s="289"/>
      <c r="B213" s="287"/>
      <c r="C213" s="293"/>
      <c r="D213" s="297" t="str">
        <f>CUW!D76</f>
        <v>Przedszkola niepubliczne w Milanówku</v>
      </c>
      <c r="E213" s="284">
        <f>CUW!E76</f>
        <v>5400</v>
      </c>
      <c r="F213" s="301">
        <f>CUW!F76</f>
        <v>0</v>
      </c>
      <c r="G213" s="285">
        <f>SUM(F213/E213)</f>
        <v>0</v>
      </c>
    </row>
    <row r="214" spans="1:11" ht="16.5" customHeight="1">
      <c r="A214" s="289"/>
      <c r="B214" s="287"/>
      <c r="C214" s="293"/>
      <c r="D214" s="297" t="str">
        <f>CUW!D77</f>
        <v>Przedszkola niepubliczne w Grodzisku Mazowieckim</v>
      </c>
      <c r="E214" s="284">
        <f>CUW!E77</f>
        <v>12000</v>
      </c>
      <c r="F214" s="301">
        <f>CUW!F77</f>
        <v>6000</v>
      </c>
      <c r="G214" s="285">
        <f>SUM(F214/E214)</f>
        <v>0.5</v>
      </c>
    </row>
    <row r="215" spans="1:11" ht="16.5" customHeight="1">
      <c r="A215" s="289"/>
      <c r="B215" s="287"/>
      <c r="C215" s="293"/>
      <c r="D215" s="297" t="str">
        <f>CUW!D78</f>
        <v>Przedszkola niepubliczne w Ożarowie Mazowieckim</v>
      </c>
      <c r="E215" s="284">
        <f>CUW!E78</f>
        <v>7500</v>
      </c>
      <c r="F215" s="301">
        <f>CUW!F78</f>
        <v>15000</v>
      </c>
      <c r="G215" s="285">
        <f t="shared" si="4"/>
        <v>2</v>
      </c>
    </row>
    <row r="216" spans="1:11" ht="16.5" customHeight="1">
      <c r="A216" s="289"/>
      <c r="B216" s="287"/>
      <c r="C216" s="293"/>
      <c r="D216" s="297" t="str">
        <f>CUW!D79</f>
        <v>Przedszkola niepubliczne w Piasecznie</v>
      </c>
      <c r="E216" s="284">
        <f>CUW!E79</f>
        <v>7680</v>
      </c>
      <c r="F216" s="301">
        <f>CUW!F79</f>
        <v>0</v>
      </c>
      <c r="G216" s="285">
        <f t="shared" si="4"/>
        <v>0</v>
      </c>
    </row>
    <row r="217" spans="1:11" ht="16.5" customHeight="1">
      <c r="A217" s="289"/>
      <c r="B217" s="287"/>
      <c r="C217" s="293"/>
      <c r="D217" s="297" t="str">
        <f>CUW!D80</f>
        <v>Przedszkola niepubliczne w Lesznowoli</v>
      </c>
      <c r="E217" s="284">
        <f>CUW!E80</f>
        <v>705</v>
      </c>
      <c r="F217" s="301">
        <f>CUW!F80</f>
        <v>0</v>
      </c>
      <c r="G217" s="285">
        <f t="shared" si="4"/>
        <v>0</v>
      </c>
    </row>
    <row r="218" spans="1:11" ht="16.5" customHeight="1">
      <c r="A218" s="289"/>
      <c r="B218" s="287"/>
      <c r="C218" s="293"/>
      <c r="D218" s="297" t="str">
        <f>CUW!D81</f>
        <v>Przedszkola niepubliczne w Podkowie Leśnej</v>
      </c>
      <c r="E218" s="284">
        <f>CUW!E81</f>
        <v>6840</v>
      </c>
      <c r="F218" s="301">
        <f>CUW!F81</f>
        <v>0</v>
      </c>
      <c r="G218" s="285">
        <f t="shared" si="4"/>
        <v>0</v>
      </c>
    </row>
    <row r="219" spans="1:11" ht="16.5" customHeight="1">
      <c r="A219" s="289"/>
      <c r="B219" s="287"/>
      <c r="C219" s="293"/>
      <c r="D219" s="27" t="s">
        <v>750</v>
      </c>
      <c r="E219" s="284">
        <f>CUW!E82</f>
        <v>0</v>
      </c>
      <c r="F219" s="301">
        <f>CUW!F82</f>
        <v>3840</v>
      </c>
      <c r="G219" s="285" t="e">
        <f t="shared" si="4"/>
        <v>#DIV/0!</v>
      </c>
    </row>
    <row r="220" spans="1:11" ht="29.45" customHeight="1">
      <c r="A220" s="289"/>
      <c r="B220" s="287"/>
      <c r="C220" s="293">
        <v>4330</v>
      </c>
      <c r="D220" s="293" t="s">
        <v>316</v>
      </c>
      <c r="E220" s="280">
        <f>E221</f>
        <v>20000</v>
      </c>
      <c r="F220" s="307">
        <f>F221</f>
        <v>80000</v>
      </c>
      <c r="G220" s="281">
        <f>SUM(F220/E220)</f>
        <v>4</v>
      </c>
    </row>
    <row r="221" spans="1:11" ht="21" customHeight="1">
      <c r="A221" s="289"/>
      <c r="B221" s="287"/>
      <c r="C221" s="289"/>
      <c r="D221" s="297" t="s">
        <v>4</v>
      </c>
      <c r="E221" s="284">
        <f>CUW!E84</f>
        <v>20000</v>
      </c>
      <c r="F221" s="284">
        <f>SUM(CUW!F84)</f>
        <v>80000</v>
      </c>
      <c r="G221" s="285">
        <f>SUM(F221/E221)</f>
        <v>4</v>
      </c>
    </row>
    <row r="222" spans="1:11" ht="16.5" customHeight="1">
      <c r="A222" s="659" t="s">
        <v>128</v>
      </c>
      <c r="B222" s="662"/>
      <c r="C222" s="662"/>
      <c r="D222" s="663"/>
      <c r="E222" s="291">
        <f>SUM(E184+E206+E220)</f>
        <v>4778243</v>
      </c>
      <c r="F222" s="291">
        <f>SUM(F184+F206+F220)</f>
        <v>5260133</v>
      </c>
      <c r="G222" s="292">
        <f t="shared" si="3"/>
        <v>1.1008508776133821</v>
      </c>
      <c r="I222" s="304"/>
      <c r="J222" s="780"/>
      <c r="K222" s="780"/>
    </row>
    <row r="223" spans="1:11" ht="18.75" customHeight="1">
      <c r="A223" s="308">
        <v>801</v>
      </c>
      <c r="B223" s="308">
        <v>80104</v>
      </c>
      <c r="C223" s="308">
        <v>3020</v>
      </c>
      <c r="D223" s="279" t="s">
        <v>244</v>
      </c>
      <c r="E223" s="280">
        <f>SUM(E224:E225)</f>
        <v>172380</v>
      </c>
      <c r="F223" s="280">
        <f>SUM(F224:F225)</f>
        <v>112700</v>
      </c>
      <c r="G223" s="281">
        <f t="shared" si="3"/>
        <v>0.65378814247592532</v>
      </c>
      <c r="I223" s="298"/>
    </row>
    <row r="224" spans="1:11" ht="31.9" customHeight="1">
      <c r="A224" s="289"/>
      <c r="B224" s="289"/>
      <c r="C224" s="289"/>
      <c r="D224" s="21" t="s">
        <v>797</v>
      </c>
      <c r="E224" s="284">
        <f>'Pd Mich'!F3</f>
        <v>126450</v>
      </c>
      <c r="F224" s="284">
        <f>'Pd Mich'!G3</f>
        <v>85200</v>
      </c>
      <c r="G224" s="285">
        <f t="shared" si="3"/>
        <v>0.67378410438908665</v>
      </c>
      <c r="I224" s="298"/>
    </row>
    <row r="225" spans="1:7" ht="30.75" customHeight="1">
      <c r="A225" s="289"/>
      <c r="B225" s="289"/>
      <c r="C225" s="289"/>
      <c r="D225" s="21" t="s">
        <v>798</v>
      </c>
      <c r="E225" s="284">
        <f>'ZSP NW'!E64</f>
        <v>45930</v>
      </c>
      <c r="F225" s="284">
        <f>'ZSP NW'!F64</f>
        <v>27500</v>
      </c>
      <c r="G225" s="285">
        <f t="shared" si="3"/>
        <v>0.5987372087959939</v>
      </c>
    </row>
    <row r="226" spans="1:7" ht="19.5" customHeight="1">
      <c r="A226" s="289" t="s">
        <v>345</v>
      </c>
      <c r="B226" s="289" t="s">
        <v>346</v>
      </c>
      <c r="C226" s="287">
        <v>4010</v>
      </c>
      <c r="D226" s="279" t="s">
        <v>348</v>
      </c>
      <c r="E226" s="280">
        <f>SUM(E227:E230)</f>
        <v>2179672</v>
      </c>
      <c r="F226" s="280">
        <f>SUM(F227:F230)</f>
        <v>2518500</v>
      </c>
      <c r="G226" s="281">
        <f t="shared" si="3"/>
        <v>1.1554490767418217</v>
      </c>
    </row>
    <row r="227" spans="1:7" ht="32.25" customHeight="1">
      <c r="A227" s="289"/>
      <c r="B227" s="289"/>
      <c r="C227" s="289"/>
      <c r="D227" s="309" t="s">
        <v>676</v>
      </c>
      <c r="E227" s="284">
        <f>SUM('Pd Mich'!F7)</f>
        <v>1586660</v>
      </c>
      <c r="F227" s="284">
        <f>SUM('Pd Mich'!G7)</f>
        <v>1849800</v>
      </c>
      <c r="G227" s="285">
        <f t="shared" si="3"/>
        <v>1.165845234643843</v>
      </c>
    </row>
    <row r="228" spans="1:7" ht="18" customHeight="1">
      <c r="A228" s="289"/>
      <c r="B228" s="289"/>
      <c r="C228" s="289"/>
      <c r="D228" s="309" t="str">
        <f>'Pd Mich'!D9</f>
        <v xml:space="preserve"> nagrody jubileuszowe (2)</v>
      </c>
      <c r="E228" s="284">
        <f>'Pd Mich'!F9</f>
        <v>22600</v>
      </c>
      <c r="F228" s="284">
        <f>'Pd Mich'!G9</f>
        <v>6200</v>
      </c>
      <c r="G228" s="285">
        <f t="shared" si="3"/>
        <v>0.27433628318584069</v>
      </c>
    </row>
    <row r="229" spans="1:7" ht="33" customHeight="1">
      <c r="A229" s="289"/>
      <c r="B229" s="289"/>
      <c r="C229" s="289"/>
      <c r="D229" s="309" t="s">
        <v>675</v>
      </c>
      <c r="E229" s="284">
        <f>'ZSP NW'!E68</f>
        <v>560012</v>
      </c>
      <c r="F229" s="284">
        <f>'ZSP NW'!F68</f>
        <v>633500</v>
      </c>
      <c r="G229" s="285">
        <f t="shared" si="3"/>
        <v>1.1312257594480117</v>
      </c>
    </row>
    <row r="230" spans="1:7" ht="16.5" customHeight="1">
      <c r="A230" s="289"/>
      <c r="B230" s="289"/>
      <c r="C230" s="289"/>
      <c r="D230" s="309" t="str">
        <f>'ZSP NW'!D69</f>
        <v>nagrody jubileuszowe 3</v>
      </c>
      <c r="E230" s="284">
        <f>'ZSP NW'!E69</f>
        <v>10400</v>
      </c>
      <c r="F230" s="284">
        <f>'ZSP NW'!F69</f>
        <v>29000</v>
      </c>
      <c r="G230" s="285">
        <f t="shared" si="3"/>
        <v>2.7884615384615383</v>
      </c>
    </row>
    <row r="231" spans="1:7" ht="18.75" customHeight="1">
      <c r="A231" s="289" t="s">
        <v>345</v>
      </c>
      <c r="B231" s="289" t="s">
        <v>346</v>
      </c>
      <c r="C231" s="287">
        <v>4040</v>
      </c>
      <c r="D231" s="279" t="s">
        <v>349</v>
      </c>
      <c r="E231" s="280">
        <f>SUM(E232:E233)</f>
        <v>163000</v>
      </c>
      <c r="F231" s="280">
        <f>SUM(F232:F233)</f>
        <v>185000</v>
      </c>
      <c r="G231" s="281">
        <f t="shared" si="3"/>
        <v>1.1349693251533743</v>
      </c>
    </row>
    <row r="232" spans="1:7" ht="28.5" customHeight="1">
      <c r="A232" s="289"/>
      <c r="B232" s="289"/>
      <c r="C232" s="289"/>
      <c r="D232" s="283" t="s">
        <v>29</v>
      </c>
      <c r="E232" s="284">
        <f>SUM('Pd Mich'!F10)</f>
        <v>116000</v>
      </c>
      <c r="F232" s="284">
        <f>SUM('Pd Mich'!G10)</f>
        <v>134000</v>
      </c>
      <c r="G232" s="285">
        <f t="shared" si="3"/>
        <v>1.1551724137931034</v>
      </c>
    </row>
    <row r="233" spans="1:7" ht="29.25" customHeight="1">
      <c r="A233" s="289"/>
      <c r="B233" s="289"/>
      <c r="C233" s="289"/>
      <c r="D233" s="283" t="s">
        <v>30</v>
      </c>
      <c r="E233" s="284">
        <f>'ZSP NW'!E70</f>
        <v>47000</v>
      </c>
      <c r="F233" s="284">
        <f>'ZSP NW'!F70</f>
        <v>51000</v>
      </c>
      <c r="G233" s="285">
        <f t="shared" si="3"/>
        <v>1.0851063829787233</v>
      </c>
    </row>
    <row r="234" spans="1:7">
      <c r="A234" s="289" t="s">
        <v>345</v>
      </c>
      <c r="B234" s="289" t="s">
        <v>346</v>
      </c>
      <c r="C234" s="287">
        <v>4110</v>
      </c>
      <c r="D234" s="279" t="s">
        <v>446</v>
      </c>
      <c r="E234" s="280">
        <f>SUM(E235:E236)</f>
        <v>446065</v>
      </c>
      <c r="F234" s="280">
        <f>SUM(F235:F236)</f>
        <v>500500</v>
      </c>
      <c r="G234" s="281">
        <f t="shared" si="3"/>
        <v>1.1220337843139452</v>
      </c>
    </row>
    <row r="235" spans="1:7" ht="18" customHeight="1">
      <c r="A235" s="289"/>
      <c r="B235" s="289"/>
      <c r="C235" s="289"/>
      <c r="D235" s="283" t="s">
        <v>196</v>
      </c>
      <c r="E235" s="284">
        <f>SUM('Pd Mich'!F11)</f>
        <v>327640</v>
      </c>
      <c r="F235" s="284">
        <f>SUM('Pd Mich'!G11)</f>
        <v>375500</v>
      </c>
      <c r="G235" s="285">
        <f t="shared" si="3"/>
        <v>1.146074960322305</v>
      </c>
    </row>
    <row r="236" spans="1:7" ht="17.25" customHeight="1">
      <c r="A236" s="289"/>
      <c r="B236" s="289"/>
      <c r="C236" s="289"/>
      <c r="D236" s="283" t="s">
        <v>56</v>
      </c>
      <c r="E236" s="284">
        <f>'ZSP NW'!E71</f>
        <v>118425</v>
      </c>
      <c r="F236" s="284">
        <f>'ZSP NW'!F71</f>
        <v>125000</v>
      </c>
      <c r="G236" s="285">
        <f t="shared" si="3"/>
        <v>1.0555203715431707</v>
      </c>
    </row>
    <row r="237" spans="1:7" ht="17.25" customHeight="1">
      <c r="A237" s="289" t="s">
        <v>345</v>
      </c>
      <c r="B237" s="289" t="s">
        <v>346</v>
      </c>
      <c r="C237" s="287">
        <v>4120</v>
      </c>
      <c r="D237" s="279" t="s">
        <v>301</v>
      </c>
      <c r="E237" s="280">
        <f>SUM(E238:E239)</f>
        <v>57820</v>
      </c>
      <c r="F237" s="280">
        <f>SUM(F238:F239)</f>
        <v>64350</v>
      </c>
      <c r="G237" s="281">
        <f t="shared" si="3"/>
        <v>1.1129367001037702</v>
      </c>
    </row>
    <row r="238" spans="1:7" ht="17.25" customHeight="1">
      <c r="A238" s="289"/>
      <c r="B238" s="289"/>
      <c r="C238" s="289"/>
      <c r="D238" s="283" t="s">
        <v>57</v>
      </c>
      <c r="E238" s="284">
        <f>SUM('Pd Mich'!F12)</f>
        <v>42130</v>
      </c>
      <c r="F238" s="284">
        <f>SUM('Pd Mich'!G12)</f>
        <v>48350</v>
      </c>
      <c r="G238" s="285">
        <f t="shared" si="3"/>
        <v>1.1476382625207691</v>
      </c>
    </row>
    <row r="239" spans="1:7" ht="16.5" customHeight="1">
      <c r="A239" s="289"/>
      <c r="B239" s="289"/>
      <c r="C239" s="289"/>
      <c r="D239" s="283" t="s">
        <v>58</v>
      </c>
      <c r="E239" s="284">
        <f>'ZSP NW'!E72</f>
        <v>15690</v>
      </c>
      <c r="F239" s="284">
        <f>'ZSP NW'!F72</f>
        <v>16000</v>
      </c>
      <c r="G239" s="285">
        <f t="shared" si="3"/>
        <v>1.0197578075207139</v>
      </c>
    </row>
    <row r="240" spans="1:7" ht="17.25" customHeight="1">
      <c r="A240" s="289"/>
      <c r="B240" s="289"/>
      <c r="C240" s="287">
        <v>4140</v>
      </c>
      <c r="D240" s="279" t="s">
        <v>288</v>
      </c>
      <c r="E240" s="280">
        <f>SUM(E241)</f>
        <v>0</v>
      </c>
      <c r="F240" s="280">
        <f>SUM(F241)</f>
        <v>0</v>
      </c>
      <c r="G240" s="281" t="e">
        <f t="shared" si="3"/>
        <v>#DIV/0!</v>
      </c>
    </row>
    <row r="241" spans="1:9" ht="16.5" customHeight="1">
      <c r="A241" s="289"/>
      <c r="B241" s="289"/>
      <c r="C241" s="289"/>
      <c r="D241" s="283" t="s">
        <v>240</v>
      </c>
      <c r="E241" s="284">
        <f>SUM('Pd Mich'!F13)</f>
        <v>0</v>
      </c>
      <c r="F241" s="284">
        <f>SUM('Pd Mich'!G13)</f>
        <v>0</v>
      </c>
      <c r="G241" s="285" t="e">
        <f t="shared" si="3"/>
        <v>#DIV/0!</v>
      </c>
    </row>
    <row r="242" spans="1:9" hidden="1">
      <c r="A242" s="289"/>
      <c r="B242" s="289"/>
      <c r="C242" s="287">
        <v>4170</v>
      </c>
      <c r="D242" s="279" t="s">
        <v>235</v>
      </c>
      <c r="E242" s="280">
        <f>SUM(E243:E244)</f>
        <v>0</v>
      </c>
      <c r="F242" s="280">
        <f>SUM(F243:F244)</f>
        <v>0</v>
      </c>
      <c r="G242" s="281" t="e">
        <f t="shared" si="3"/>
        <v>#DIV/0!</v>
      </c>
    </row>
    <row r="243" spans="1:9" hidden="1">
      <c r="A243" s="289"/>
      <c r="B243" s="289"/>
      <c r="C243" s="289"/>
      <c r="D243" s="283" t="s">
        <v>8</v>
      </c>
      <c r="E243" s="284">
        <f>SUM('Pd Mich'!F15)</f>
        <v>0</v>
      </c>
      <c r="F243" s="284">
        <f>SUM('Pd Mich'!G15)</f>
        <v>0</v>
      </c>
      <c r="G243" s="285" t="e">
        <f t="shared" si="3"/>
        <v>#DIV/0!</v>
      </c>
    </row>
    <row r="244" spans="1:9" ht="29.25" hidden="1" customHeight="1">
      <c r="A244" s="289"/>
      <c r="B244" s="289"/>
      <c r="C244" s="289"/>
      <c r="D244" s="297" t="s">
        <v>15</v>
      </c>
      <c r="E244" s="284">
        <f>'ZSP NW'!E74</f>
        <v>0</v>
      </c>
      <c r="F244" s="284">
        <f>'ZSP NW'!F74</f>
        <v>0</v>
      </c>
      <c r="G244" s="285" t="e">
        <f t="shared" si="3"/>
        <v>#DIV/0!</v>
      </c>
    </row>
    <row r="245" spans="1:9" ht="18" customHeight="1">
      <c r="A245" s="289"/>
      <c r="B245" s="289"/>
      <c r="C245" s="287">
        <v>4190</v>
      </c>
      <c r="D245" s="293" t="s">
        <v>452</v>
      </c>
      <c r="E245" s="284">
        <f>E246</f>
        <v>1500</v>
      </c>
      <c r="F245" s="284">
        <f>F246</f>
        <v>1600</v>
      </c>
      <c r="G245" s="285">
        <f t="shared" si="3"/>
        <v>1.0666666666666667</v>
      </c>
    </row>
    <row r="246" spans="1:9" ht="18.75" customHeight="1">
      <c r="A246" s="289"/>
      <c r="B246" s="289"/>
      <c r="C246" s="289"/>
      <c r="D246" s="283" t="s">
        <v>184</v>
      </c>
      <c r="E246" s="284">
        <f>'Pd Mich'!F17</f>
        <v>1500</v>
      </c>
      <c r="F246" s="284">
        <f>'Pd Mich'!G17</f>
        <v>1600</v>
      </c>
      <c r="G246" s="285">
        <f t="shared" si="3"/>
        <v>1.0666666666666667</v>
      </c>
    </row>
    <row r="247" spans="1:9" ht="18.75" customHeight="1">
      <c r="A247" s="289" t="s">
        <v>345</v>
      </c>
      <c r="B247" s="289" t="s">
        <v>346</v>
      </c>
      <c r="C247" s="287">
        <v>4210</v>
      </c>
      <c r="D247" s="279" t="s">
        <v>274</v>
      </c>
      <c r="E247" s="280">
        <f>SUM(E248:E249)</f>
        <v>99320</v>
      </c>
      <c r="F247" s="280">
        <f>SUM(F248:F249)</f>
        <v>94250</v>
      </c>
      <c r="G247" s="281">
        <f t="shared" si="3"/>
        <v>0.94895287958115182</v>
      </c>
    </row>
    <row r="248" spans="1:9" ht="59.45" customHeight="1">
      <c r="A248" s="289"/>
      <c r="B248" s="289"/>
      <c r="C248" s="289"/>
      <c r="D248" s="89" t="s">
        <v>817</v>
      </c>
      <c r="E248" s="284">
        <f>SUM('Pd Mich'!F19)</f>
        <v>71920</v>
      </c>
      <c r="F248" s="284">
        <f>SUM('Pd Mich'!G19)</f>
        <v>67200</v>
      </c>
      <c r="G248" s="285">
        <f t="shared" si="3"/>
        <v>0.93437152391546163</v>
      </c>
      <c r="I248" s="298"/>
    </row>
    <row r="249" spans="1:9" ht="47.25" customHeight="1">
      <c r="A249" s="289"/>
      <c r="B249" s="289"/>
      <c r="C249" s="289"/>
      <c r="D249" s="21" t="s">
        <v>825</v>
      </c>
      <c r="E249" s="284">
        <f>'ZSP NW'!E76</f>
        <v>27400</v>
      </c>
      <c r="F249" s="284">
        <f>'ZSP NW'!F76</f>
        <v>27050</v>
      </c>
      <c r="G249" s="285">
        <f t="shared" si="3"/>
        <v>0.98722627737226276</v>
      </c>
      <c r="I249" s="298"/>
    </row>
    <row r="250" spans="1:9" ht="21.75" customHeight="1">
      <c r="A250" s="289"/>
      <c r="B250" s="289"/>
      <c r="C250" s="278">
        <v>4220</v>
      </c>
      <c r="D250" s="279" t="s">
        <v>492</v>
      </c>
      <c r="E250" s="284">
        <f>SUM(E251:E252)</f>
        <v>9700</v>
      </c>
      <c r="F250" s="284">
        <f>SUM(F251:F252)</f>
        <v>12200</v>
      </c>
      <c r="G250" s="285">
        <f>SUM(F250/E250)</f>
        <v>1.2577319587628866</v>
      </c>
      <c r="I250" s="298"/>
    </row>
    <row r="251" spans="1:9" ht="18.75" customHeight="1">
      <c r="A251" s="289"/>
      <c r="B251" s="289"/>
      <c r="C251" s="289"/>
      <c r="D251" s="283" t="s">
        <v>536</v>
      </c>
      <c r="E251" s="284">
        <f>'Pd Mich'!F20</f>
        <v>6700</v>
      </c>
      <c r="F251" s="284">
        <f>'Pd Mich'!G20</f>
        <v>6700</v>
      </c>
      <c r="G251" s="285">
        <f>SUM(F251/E251)</f>
        <v>1</v>
      </c>
      <c r="I251" s="298"/>
    </row>
    <row r="252" spans="1:9" ht="17.25" customHeight="1">
      <c r="A252" s="289"/>
      <c r="B252" s="289"/>
      <c r="C252" s="289"/>
      <c r="D252" s="283" t="s">
        <v>537</v>
      </c>
      <c r="E252" s="284">
        <f>'ZSP NW'!E77</f>
        <v>3000</v>
      </c>
      <c r="F252" s="284">
        <f>'ZSP NW'!F77</f>
        <v>5500</v>
      </c>
      <c r="G252" s="285">
        <f>SUM(F252/E252)</f>
        <v>1.8333333333333333</v>
      </c>
      <c r="I252" s="298"/>
    </row>
    <row r="253" spans="1:9">
      <c r="A253" s="289" t="s">
        <v>345</v>
      </c>
      <c r="B253" s="289" t="s">
        <v>346</v>
      </c>
      <c r="C253" s="287">
        <v>4240</v>
      </c>
      <c r="D253" s="279" t="s">
        <v>179</v>
      </c>
      <c r="E253" s="280">
        <f>SUM(E254:E255)</f>
        <v>35700</v>
      </c>
      <c r="F253" s="280">
        <f>SUM(F254:F255)</f>
        <v>33000</v>
      </c>
      <c r="G253" s="281">
        <f t="shared" si="3"/>
        <v>0.92436974789915971</v>
      </c>
    </row>
    <row r="254" spans="1:9" ht="30.75" customHeight="1">
      <c r="A254" s="289"/>
      <c r="B254" s="289"/>
      <c r="C254" s="289"/>
      <c r="D254" s="283" t="s">
        <v>674</v>
      </c>
      <c r="E254" s="284">
        <f>SUM('Pd Mich'!F22)</f>
        <v>25000</v>
      </c>
      <c r="F254" s="284">
        <f>SUM('Pd Mich'!G22)</f>
        <v>25000</v>
      </c>
      <c r="G254" s="285">
        <f t="shared" si="3"/>
        <v>1</v>
      </c>
    </row>
    <row r="255" spans="1:9" ht="17.25" customHeight="1">
      <c r="A255" s="289"/>
      <c r="B255" s="289"/>
      <c r="C255" s="289"/>
      <c r="D255" s="44" t="s">
        <v>818</v>
      </c>
      <c r="E255" s="284">
        <f>'ZSP NW'!E79</f>
        <v>10700</v>
      </c>
      <c r="F255" s="284">
        <f>'ZSP NW'!F79</f>
        <v>8000</v>
      </c>
      <c r="G255" s="285">
        <f t="shared" si="3"/>
        <v>0.74766355140186913</v>
      </c>
    </row>
    <row r="256" spans="1:9">
      <c r="A256" s="289"/>
      <c r="B256" s="289"/>
      <c r="C256" s="287">
        <v>4260</v>
      </c>
      <c r="D256" s="279" t="s">
        <v>443</v>
      </c>
      <c r="E256" s="280">
        <f>SUM(E257:E258)</f>
        <v>126300</v>
      </c>
      <c r="F256" s="280">
        <f>SUM(F257:F258)</f>
        <v>129300</v>
      </c>
      <c r="G256" s="281">
        <f t="shared" si="3"/>
        <v>1.0237529691211402</v>
      </c>
      <c r="I256" s="298"/>
    </row>
    <row r="257" spans="1:9" ht="18.75" customHeight="1">
      <c r="A257" s="289"/>
      <c r="B257" s="289"/>
      <c r="C257" s="289"/>
      <c r="D257" s="283" t="s">
        <v>48</v>
      </c>
      <c r="E257" s="284">
        <f>SUM('Pd Mich'!F24)</f>
        <v>94000</v>
      </c>
      <c r="F257" s="284">
        <f>SUM('Pd Mich'!G24)</f>
        <v>97000</v>
      </c>
      <c r="G257" s="285">
        <f t="shared" si="3"/>
        <v>1.0319148936170213</v>
      </c>
    </row>
    <row r="258" spans="1:9" ht="17.25" customHeight="1">
      <c r="A258" s="289"/>
      <c r="B258" s="289"/>
      <c r="C258" s="289"/>
      <c r="D258" s="283" t="s">
        <v>418</v>
      </c>
      <c r="E258" s="284">
        <f>'ZSP NW'!E81</f>
        <v>32300</v>
      </c>
      <c r="F258" s="284">
        <f>'ZSP NW'!F81</f>
        <v>32300</v>
      </c>
      <c r="G258" s="285">
        <f t="shared" si="3"/>
        <v>1</v>
      </c>
    </row>
    <row r="259" spans="1:9">
      <c r="A259" s="289"/>
      <c r="B259" s="289"/>
      <c r="C259" s="287">
        <v>4270</v>
      </c>
      <c r="D259" s="279" t="s">
        <v>238</v>
      </c>
      <c r="E259" s="280">
        <f>SUM(E260:E263)</f>
        <v>15300</v>
      </c>
      <c r="F259" s="280">
        <f>SUM(F260:F263)</f>
        <v>16800</v>
      </c>
      <c r="G259" s="281">
        <f t="shared" si="3"/>
        <v>1.0980392156862746</v>
      </c>
      <c r="I259" s="298"/>
    </row>
    <row r="260" spans="1:9" ht="19.5" customHeight="1">
      <c r="A260" s="289"/>
      <c r="B260" s="289"/>
      <c r="C260" s="289"/>
      <c r="D260" s="283" t="s">
        <v>373</v>
      </c>
      <c r="E260" s="284">
        <f>SUM('Pd Mich'!F27)</f>
        <v>13500</v>
      </c>
      <c r="F260" s="284">
        <f>SUM('Pd Mich'!G27)</f>
        <v>15000</v>
      </c>
      <c r="G260" s="281">
        <f t="shared" si="3"/>
        <v>1.1111111111111112</v>
      </c>
    </row>
    <row r="261" spans="1:9" ht="18.75" customHeight="1">
      <c r="A261" s="289"/>
      <c r="B261" s="289"/>
      <c r="C261" s="289"/>
      <c r="D261" s="283" t="s">
        <v>267</v>
      </c>
      <c r="E261" s="284">
        <f>'ZSP NW'!E84</f>
        <v>1800</v>
      </c>
      <c r="F261" s="284">
        <f>'ZSP NW'!F84</f>
        <v>1800</v>
      </c>
      <c r="G261" s="285">
        <f t="shared" si="3"/>
        <v>1</v>
      </c>
    </row>
    <row r="262" spans="1:9" hidden="1">
      <c r="A262" s="289"/>
      <c r="B262" s="289"/>
      <c r="C262" s="289"/>
      <c r="D262" s="297" t="s">
        <v>149</v>
      </c>
      <c r="E262" s="284">
        <f>SUM('Pd Mich'!F26)</f>
        <v>0</v>
      </c>
      <c r="F262" s="284">
        <f>SUM('Pd Mich'!G26)</f>
        <v>0</v>
      </c>
      <c r="G262" s="285"/>
    </row>
    <row r="263" spans="1:9" ht="48.75" hidden="1" customHeight="1">
      <c r="A263" s="289"/>
      <c r="B263" s="289"/>
      <c r="C263" s="289"/>
      <c r="D263" s="297" t="s">
        <v>625</v>
      </c>
      <c r="E263" s="284">
        <f>'ZSP NW'!E83</f>
        <v>0</v>
      </c>
      <c r="F263" s="284">
        <f>'ZSP NW'!F83</f>
        <v>0</v>
      </c>
      <c r="G263" s="285" t="e">
        <f t="shared" si="3"/>
        <v>#DIV/0!</v>
      </c>
    </row>
    <row r="264" spans="1:9">
      <c r="A264" s="289"/>
      <c r="B264" s="289"/>
      <c r="C264" s="287">
        <v>4280</v>
      </c>
      <c r="D264" s="279" t="s">
        <v>124</v>
      </c>
      <c r="E264" s="280">
        <f>SUM(E265:E266)</f>
        <v>2250</v>
      </c>
      <c r="F264" s="280">
        <f>SUM(F265:F266)</f>
        <v>2500</v>
      </c>
      <c r="G264" s="281">
        <f t="shared" si="3"/>
        <v>1.1111111111111112</v>
      </c>
    </row>
    <row r="265" spans="1:9" ht="30">
      <c r="A265" s="289"/>
      <c r="B265" s="289"/>
      <c r="C265" s="289"/>
      <c r="D265" s="283" t="s">
        <v>266</v>
      </c>
      <c r="E265" s="284">
        <f>SUM('Pd Mich'!F28)</f>
        <v>1750</v>
      </c>
      <c r="F265" s="284">
        <f>SUM('Pd Mich'!G28)</f>
        <v>2000</v>
      </c>
      <c r="G265" s="285">
        <f t="shared" si="3"/>
        <v>1.1428571428571428</v>
      </c>
    </row>
    <row r="266" spans="1:9" ht="30">
      <c r="A266" s="289"/>
      <c r="B266" s="289"/>
      <c r="C266" s="289"/>
      <c r="D266" s="283" t="s">
        <v>364</v>
      </c>
      <c r="E266" s="284">
        <f>'ZSP NW'!E85</f>
        <v>500</v>
      </c>
      <c r="F266" s="284">
        <f>'ZSP NW'!F85</f>
        <v>500</v>
      </c>
      <c r="G266" s="285">
        <f t="shared" ref="G266:G351" si="5">SUM(F266/E266)</f>
        <v>1</v>
      </c>
    </row>
    <row r="267" spans="1:9">
      <c r="A267" s="289"/>
      <c r="B267" s="289"/>
      <c r="C267" s="287">
        <v>4300</v>
      </c>
      <c r="D267" s="279" t="s">
        <v>100</v>
      </c>
      <c r="E267" s="280">
        <f>SUM(E268:E269)</f>
        <v>145070</v>
      </c>
      <c r="F267" s="280">
        <f>SUM(F268:F269)</f>
        <v>149900</v>
      </c>
      <c r="G267" s="281">
        <f t="shared" si="5"/>
        <v>1.0332942717308886</v>
      </c>
      <c r="I267" s="298"/>
    </row>
    <row r="268" spans="1:9" ht="90.75" customHeight="1">
      <c r="A268" s="289"/>
      <c r="B268" s="289"/>
      <c r="C268" s="289"/>
      <c r="D268" s="27" t="s">
        <v>821</v>
      </c>
      <c r="E268" s="284">
        <f>SUM('Pd Mich'!F30)</f>
        <v>115070</v>
      </c>
      <c r="F268" s="284">
        <f>SUM('Pd Mich'!G30)</f>
        <v>120000</v>
      </c>
      <c r="G268" s="285">
        <f t="shared" si="5"/>
        <v>1.0428434865733902</v>
      </c>
      <c r="I268" s="298"/>
    </row>
    <row r="269" spans="1:9" ht="59.45" customHeight="1">
      <c r="A269" s="289"/>
      <c r="B269" s="289"/>
      <c r="C269" s="289"/>
      <c r="D269" s="52" t="s">
        <v>827</v>
      </c>
      <c r="E269" s="284">
        <f>'ZSP NW'!E87</f>
        <v>30000</v>
      </c>
      <c r="F269" s="284">
        <f>'ZSP NW'!F87</f>
        <v>29900</v>
      </c>
      <c r="G269" s="285">
        <f t="shared" si="5"/>
        <v>0.9966666666666667</v>
      </c>
      <c r="I269" s="298"/>
    </row>
    <row r="270" spans="1:9">
      <c r="A270" s="289"/>
      <c r="B270" s="289"/>
      <c r="C270" s="287">
        <v>4360</v>
      </c>
      <c r="D270" s="279" t="s">
        <v>391</v>
      </c>
      <c r="E270" s="280">
        <f>SUM(E271:E272)</f>
        <v>3200</v>
      </c>
      <c r="F270" s="280">
        <f>SUM(F271:F272)</f>
        <v>3150</v>
      </c>
      <c r="G270" s="281">
        <f t="shared" si="5"/>
        <v>0.984375</v>
      </c>
    </row>
    <row r="271" spans="1:9">
      <c r="A271" s="289"/>
      <c r="B271" s="289"/>
      <c r="C271" s="289"/>
      <c r="D271" s="283" t="s">
        <v>396</v>
      </c>
      <c r="E271" s="284">
        <f>SUM('Pd Mich'!F31)</f>
        <v>1800</v>
      </c>
      <c r="F271" s="284">
        <f>SUM('Pd Mich'!G31)</f>
        <v>1750</v>
      </c>
      <c r="G271" s="285">
        <f t="shared" si="5"/>
        <v>0.97222222222222221</v>
      </c>
    </row>
    <row r="272" spans="1:9">
      <c r="A272" s="289"/>
      <c r="B272" s="289"/>
      <c r="C272" s="289"/>
      <c r="D272" s="283" t="s">
        <v>397</v>
      </c>
      <c r="E272" s="284">
        <f>'ZSP NW'!E89</f>
        <v>1400</v>
      </c>
      <c r="F272" s="284">
        <f>'ZSP NW'!F89</f>
        <v>1400</v>
      </c>
      <c r="G272" s="285">
        <f t="shared" si="5"/>
        <v>1</v>
      </c>
    </row>
    <row r="273" spans="1:9">
      <c r="A273" s="289"/>
      <c r="B273" s="289"/>
      <c r="C273" s="287">
        <v>4390</v>
      </c>
      <c r="D273" s="279" t="s">
        <v>111</v>
      </c>
      <c r="E273" s="280">
        <f>SUM(E274:E275)</f>
        <v>830</v>
      </c>
      <c r="F273" s="280">
        <f>SUM(F274:F275)</f>
        <v>1000</v>
      </c>
      <c r="G273" s="285">
        <f t="shared" si="5"/>
        <v>1.2048192771084338</v>
      </c>
    </row>
    <row r="274" spans="1:9">
      <c r="A274" s="289"/>
      <c r="B274" s="289"/>
      <c r="C274" s="287"/>
      <c r="D274" s="283" t="s">
        <v>113</v>
      </c>
      <c r="E274" s="284">
        <f>'Pd Mich'!F33</f>
        <v>630</v>
      </c>
      <c r="F274" s="284">
        <f>'Pd Mich'!G33</f>
        <v>800</v>
      </c>
      <c r="G274" s="285">
        <f t="shared" si="5"/>
        <v>1.2698412698412698</v>
      </c>
    </row>
    <row r="275" spans="1:9">
      <c r="A275" s="289"/>
      <c r="B275" s="289"/>
      <c r="C275" s="287"/>
      <c r="D275" s="283" t="s">
        <v>112</v>
      </c>
      <c r="E275" s="284">
        <f>'ZSP NW'!E91</f>
        <v>200</v>
      </c>
      <c r="F275" s="284">
        <f>'ZSP NW'!F91</f>
        <v>200</v>
      </c>
      <c r="G275" s="285">
        <f t="shared" si="5"/>
        <v>1</v>
      </c>
    </row>
    <row r="276" spans="1:9" ht="16.5" customHeight="1">
      <c r="A276" s="289"/>
      <c r="B276" s="289"/>
      <c r="C276" s="287">
        <v>4410</v>
      </c>
      <c r="D276" s="279" t="s">
        <v>203</v>
      </c>
      <c r="E276" s="280">
        <f>SUM(E277:E278)</f>
        <v>1930</v>
      </c>
      <c r="F276" s="280">
        <f>SUM(F277:F278)</f>
        <v>2000</v>
      </c>
      <c r="G276" s="281">
        <f t="shared" si="5"/>
        <v>1.0362694300518134</v>
      </c>
    </row>
    <row r="277" spans="1:9" ht="30" customHeight="1">
      <c r="A277" s="289"/>
      <c r="B277" s="289"/>
      <c r="C277" s="289"/>
      <c r="D277" s="283" t="s">
        <v>10</v>
      </c>
      <c r="E277" s="284">
        <f>SUM('Pd Mich'!F36)</f>
        <v>1630</v>
      </c>
      <c r="F277" s="284">
        <f>SUM('Pd Mich'!G36)</f>
        <v>1700</v>
      </c>
      <c r="G277" s="285">
        <f t="shared" si="5"/>
        <v>1.0429447852760736</v>
      </c>
    </row>
    <row r="278" spans="1:9" ht="17.25" customHeight="1">
      <c r="A278" s="289"/>
      <c r="B278" s="289"/>
      <c r="C278" s="289"/>
      <c r="D278" s="283" t="s">
        <v>380</v>
      </c>
      <c r="E278" s="284">
        <f>'ZSP NW'!E93</f>
        <v>300</v>
      </c>
      <c r="F278" s="284">
        <f>'ZSP NW'!F93</f>
        <v>300</v>
      </c>
      <c r="G278" s="285">
        <f t="shared" si="5"/>
        <v>1</v>
      </c>
    </row>
    <row r="279" spans="1:9" ht="16.5" customHeight="1">
      <c r="A279" s="289"/>
      <c r="B279" s="289"/>
      <c r="C279" s="287">
        <v>4430</v>
      </c>
      <c r="D279" s="279" t="s">
        <v>413</v>
      </c>
      <c r="E279" s="280">
        <f>SUM(E280:E281)</f>
        <v>2250</v>
      </c>
      <c r="F279" s="280">
        <f>SUM(F280:F281)</f>
        <v>2250</v>
      </c>
      <c r="G279" s="281">
        <f t="shared" si="5"/>
        <v>1</v>
      </c>
    </row>
    <row r="280" spans="1:9" ht="17.25" customHeight="1">
      <c r="A280" s="289"/>
      <c r="B280" s="289"/>
      <c r="C280" s="289"/>
      <c r="D280" s="283" t="s">
        <v>60</v>
      </c>
      <c r="E280" s="284">
        <f>SUM('Pd Mich'!F38)</f>
        <v>1500</v>
      </c>
      <c r="F280" s="284">
        <f>SUM('Pd Mich'!G38)</f>
        <v>1500</v>
      </c>
      <c r="G280" s="285">
        <f t="shared" si="5"/>
        <v>1</v>
      </c>
    </row>
    <row r="281" spans="1:9" ht="17.25" customHeight="1">
      <c r="A281" s="289"/>
      <c r="B281" s="289"/>
      <c r="C281" s="289"/>
      <c r="D281" s="283" t="s">
        <v>61</v>
      </c>
      <c r="E281" s="284">
        <f>'ZSP NW'!E94</f>
        <v>750</v>
      </c>
      <c r="F281" s="284">
        <f>'ZSP NW'!F94</f>
        <v>750</v>
      </c>
      <c r="G281" s="285">
        <f t="shared" si="5"/>
        <v>1</v>
      </c>
    </row>
    <row r="282" spans="1:9" ht="18" customHeight="1">
      <c r="A282" s="289"/>
      <c r="B282" s="289"/>
      <c r="C282" s="287">
        <v>4440</v>
      </c>
      <c r="D282" s="279" t="s">
        <v>317</v>
      </c>
      <c r="E282" s="280">
        <f>SUM(E283:E284)</f>
        <v>122982</v>
      </c>
      <c r="F282" s="280">
        <f>SUM(F283:F284)</f>
        <v>120470</v>
      </c>
      <c r="G282" s="281">
        <f t="shared" si="5"/>
        <v>0.9795742466377193</v>
      </c>
    </row>
    <row r="283" spans="1:9" ht="32.25" customHeight="1">
      <c r="A283" s="289"/>
      <c r="B283" s="289"/>
      <c r="C283" s="289"/>
      <c r="D283" s="283" t="s">
        <v>451</v>
      </c>
      <c r="E283" s="284">
        <f>SUM('Pd Mich'!F39)</f>
        <v>88621</v>
      </c>
      <c r="F283" s="284">
        <f>SUM('Pd Mich'!G39)</f>
        <v>88643</v>
      </c>
      <c r="G283" s="285">
        <f t="shared" si="5"/>
        <v>1.0002482481578858</v>
      </c>
    </row>
    <row r="284" spans="1:9" ht="32.25" customHeight="1">
      <c r="A284" s="289"/>
      <c r="B284" s="289"/>
      <c r="C284" s="289"/>
      <c r="D284" s="283" t="s">
        <v>458</v>
      </c>
      <c r="E284" s="284">
        <f>'ZSP NW'!E96</f>
        <v>34361</v>
      </c>
      <c r="F284" s="284">
        <f>'ZSP NW'!F96</f>
        <v>31827</v>
      </c>
      <c r="G284" s="285">
        <f t="shared" si="5"/>
        <v>0.92625360146677915</v>
      </c>
    </row>
    <row r="285" spans="1:9" ht="15.75" customHeight="1">
      <c r="A285" s="289"/>
      <c r="B285" s="289"/>
      <c r="C285" s="287">
        <v>4700</v>
      </c>
      <c r="D285" s="279" t="s">
        <v>87</v>
      </c>
      <c r="E285" s="280">
        <f>SUM(E286:E287)</f>
        <v>1200</v>
      </c>
      <c r="F285" s="280">
        <f>SUM(F286:F287)</f>
        <v>1700</v>
      </c>
      <c r="G285" s="281">
        <f t="shared" si="5"/>
        <v>1.4166666666666667</v>
      </c>
    </row>
    <row r="286" spans="1:9">
      <c r="A286" s="289"/>
      <c r="B286" s="289"/>
      <c r="C286" s="289"/>
      <c r="D286" s="283" t="s">
        <v>78</v>
      </c>
      <c r="E286" s="284">
        <f>SUM('Pd Mich'!F41)</f>
        <v>1200</v>
      </c>
      <c r="F286" s="284">
        <f>SUM('Pd Mich'!G41)</f>
        <v>1200</v>
      </c>
      <c r="G286" s="285">
        <f t="shared" si="5"/>
        <v>1</v>
      </c>
    </row>
    <row r="287" spans="1:9">
      <c r="A287" s="289"/>
      <c r="B287" s="289"/>
      <c r="C287" s="289"/>
      <c r="D287" s="283" t="s">
        <v>332</v>
      </c>
      <c r="E287" s="284">
        <f>'ZSP NW'!E98</f>
        <v>0</v>
      </c>
      <c r="F287" s="284">
        <f>'ZSP NW'!F98</f>
        <v>500</v>
      </c>
      <c r="G287" s="285" t="e">
        <f t="shared" si="5"/>
        <v>#DIV/0!</v>
      </c>
    </row>
    <row r="288" spans="1:9" ht="14.45" hidden="1" customHeight="1">
      <c r="A288" s="289"/>
      <c r="B288" s="289"/>
      <c r="C288" s="311">
        <f>'Pd Mich'!C42</f>
        <v>6060</v>
      </c>
      <c r="D288" s="312" t="str">
        <f>'Pd Mich'!D42</f>
        <v xml:space="preserve">Wydatki na zakupy inwestycyjne jednostek budżetowych    </v>
      </c>
      <c r="E288" s="313">
        <f>SUM(E289+E290)</f>
        <v>0</v>
      </c>
      <c r="F288" s="313">
        <f>SUM(F289+F290)</f>
        <v>0</v>
      </c>
      <c r="G288" s="303" t="e">
        <f t="shared" si="5"/>
        <v>#DIV/0!</v>
      </c>
      <c r="I288" s="298"/>
    </row>
    <row r="289" spans="1:9" ht="16.899999999999999" hidden="1" customHeight="1">
      <c r="A289" s="289"/>
      <c r="B289" s="289"/>
      <c r="C289" s="311"/>
      <c r="D289" s="314" t="s">
        <v>615</v>
      </c>
      <c r="E289" s="291">
        <f>SUM('Pd Mich'!F43)</f>
        <v>0</v>
      </c>
      <c r="F289" s="291">
        <f>SUM('Pd Mich'!G43)</f>
        <v>0</v>
      </c>
      <c r="G289" s="292" t="e">
        <f t="shared" si="5"/>
        <v>#DIV/0!</v>
      </c>
    </row>
    <row r="290" spans="1:9" ht="16.899999999999999" hidden="1" customHeight="1">
      <c r="A290" s="289"/>
      <c r="B290" s="289"/>
      <c r="C290" s="311"/>
      <c r="D290" s="314" t="s">
        <v>623</v>
      </c>
      <c r="E290" s="291">
        <f>'ZSP NW'!E99</f>
        <v>0</v>
      </c>
      <c r="F290" s="291">
        <f>'ZSP NW'!F99</f>
        <v>0</v>
      </c>
      <c r="G290" s="292" t="e">
        <f t="shared" si="5"/>
        <v>#DIV/0!</v>
      </c>
    </row>
    <row r="291" spans="1:9">
      <c r="A291" s="659" t="s">
        <v>376</v>
      </c>
      <c r="B291" s="660"/>
      <c r="C291" s="660"/>
      <c r="D291" s="661"/>
      <c r="E291" s="291">
        <f>SUM(E223+E226+E231+E234+E237+E240+E242+E245+E247+E250+E253+E256+E259+E264+E267+E270+E273+E276+E279+E282+E285+E288)</f>
        <v>3586469</v>
      </c>
      <c r="F291" s="291">
        <f>SUM(F223+F226+F231+F234+F237+F240+F242+F245+F247+F250+F253+F256+F259+F264+F267+F270+F273+F276+F279+F282+F285+F288)</f>
        <v>3951170</v>
      </c>
      <c r="G291" s="292">
        <f t="shared" si="5"/>
        <v>1.1016880391270634</v>
      </c>
      <c r="H291" s="298">
        <f>'ZSP NW'!F101+'Pd Mich'!G44</f>
        <v>3951170</v>
      </c>
      <c r="I291" s="315"/>
    </row>
    <row r="292" spans="1:9" ht="18.75" customHeight="1">
      <c r="A292" s="316">
        <v>801</v>
      </c>
      <c r="B292" s="317">
        <v>80106</v>
      </c>
      <c r="C292" s="318">
        <v>2540</v>
      </c>
      <c r="D292" s="319" t="s">
        <v>415</v>
      </c>
      <c r="E292" s="280">
        <f>SUM(E293:E308)</f>
        <v>426377</v>
      </c>
      <c r="F292" s="280">
        <f>SUM(F293:F308)</f>
        <v>453795</v>
      </c>
      <c r="G292" s="281">
        <f t="shared" si="5"/>
        <v>1.0643045942909679</v>
      </c>
      <c r="I292" s="298"/>
    </row>
    <row r="293" spans="1:9" ht="15" customHeight="1">
      <c r="A293" s="316"/>
      <c r="B293" s="317"/>
      <c r="C293" s="317"/>
      <c r="D293" s="295" t="s">
        <v>91</v>
      </c>
      <c r="E293" s="301">
        <f>SUM(CUW!E87)</f>
        <v>87480</v>
      </c>
      <c r="F293" s="301">
        <f>SUM(CUW!F87)</f>
        <v>112114</v>
      </c>
      <c r="G293" s="320">
        <f t="shared" si="5"/>
        <v>1.2815957933241884</v>
      </c>
    </row>
    <row r="294" spans="1:9">
      <c r="A294" s="316"/>
      <c r="B294" s="317"/>
      <c r="C294" s="317"/>
      <c r="D294" s="297" t="s">
        <v>92</v>
      </c>
      <c r="E294" s="284">
        <f>CUW!E88</f>
        <v>67250</v>
      </c>
      <c r="F294" s="284">
        <f>CUW!F88</f>
        <v>80081</v>
      </c>
      <c r="G294" s="285">
        <f t="shared" si="5"/>
        <v>1.1907955390334573</v>
      </c>
    </row>
    <row r="295" spans="1:9" ht="15" customHeight="1">
      <c r="A295" s="316"/>
      <c r="B295" s="317"/>
      <c r="C295" s="317"/>
      <c r="D295" s="297" t="s">
        <v>314</v>
      </c>
      <c r="E295" s="301">
        <f>CUW!E89</f>
        <v>69063</v>
      </c>
      <c r="F295" s="301">
        <f>CUW!F89</f>
        <v>53388</v>
      </c>
      <c r="G295" s="320">
        <f t="shared" si="5"/>
        <v>0.7730333174058468</v>
      </c>
    </row>
    <row r="296" spans="1:9">
      <c r="A296" s="316"/>
      <c r="B296" s="317"/>
      <c r="C296" s="317"/>
      <c r="D296" s="297" t="s">
        <v>81</v>
      </c>
      <c r="E296" s="301">
        <f>CUW!E90</f>
        <v>69063</v>
      </c>
      <c r="F296" s="301">
        <f>CUW!F90</f>
        <v>48049</v>
      </c>
      <c r="G296" s="320">
        <f t="shared" si="5"/>
        <v>0.69572708975862618</v>
      </c>
    </row>
    <row r="297" spans="1:9">
      <c r="A297" s="316"/>
      <c r="B297" s="317"/>
      <c r="C297" s="317"/>
      <c r="D297" s="295" t="s">
        <v>82</v>
      </c>
      <c r="E297" s="301">
        <f>CUW!E91</f>
        <v>78271</v>
      </c>
      <c r="F297" s="301">
        <f>CUW!F91</f>
        <v>96098</v>
      </c>
      <c r="G297" s="320">
        <f>SUM(F297/E297)</f>
        <v>1.2277599621826729</v>
      </c>
    </row>
    <row r="298" spans="1:9">
      <c r="A298" s="316"/>
      <c r="B298" s="317"/>
      <c r="C298" s="317"/>
      <c r="D298" s="295" t="s">
        <v>561</v>
      </c>
      <c r="E298" s="301">
        <f>CUW!E92</f>
        <v>55250</v>
      </c>
      <c r="F298" s="301">
        <f>CUW!F92</f>
        <v>64065</v>
      </c>
      <c r="G298" s="320">
        <f>SUM(F298/E298)</f>
        <v>1.1595475113122171</v>
      </c>
    </row>
    <row r="299" spans="1:9">
      <c r="A299" s="316"/>
      <c r="B299" s="317"/>
      <c r="C299" s="317"/>
      <c r="D299" s="295" t="s">
        <v>562</v>
      </c>
      <c r="E299" s="301">
        <f>CUW!E93</f>
        <v>0</v>
      </c>
      <c r="F299" s="301">
        <f>CUW!F93</f>
        <v>0</v>
      </c>
      <c r="G299" s="320" t="e">
        <f>SUM(F299/E299)</f>
        <v>#DIV/0!</v>
      </c>
    </row>
    <row r="300" spans="1:9" hidden="1">
      <c r="A300" s="316"/>
      <c r="B300" s="317"/>
      <c r="C300" s="317"/>
      <c r="D300" s="295" t="s">
        <v>519</v>
      </c>
      <c r="E300" s="301">
        <f>CUW!E94</f>
        <v>0</v>
      </c>
      <c r="F300" s="301">
        <f>CUW!F94</f>
        <v>0</v>
      </c>
      <c r="G300" s="320" t="e">
        <f t="shared" ref="G300:G308" si="6">SUM(F300/E300)</f>
        <v>#DIV/0!</v>
      </c>
    </row>
    <row r="301" spans="1:9" hidden="1">
      <c r="A301" s="316"/>
      <c r="B301" s="317"/>
      <c r="C301" s="317"/>
      <c r="D301" s="297" t="s">
        <v>520</v>
      </c>
      <c r="E301" s="301">
        <f>CUW!E95</f>
        <v>0</v>
      </c>
      <c r="F301" s="301">
        <f>CUW!F95</f>
        <v>0</v>
      </c>
      <c r="G301" s="320" t="e">
        <f t="shared" si="6"/>
        <v>#DIV/0!</v>
      </c>
    </row>
    <row r="302" spans="1:9" hidden="1">
      <c r="A302" s="316"/>
      <c r="B302" s="317"/>
      <c r="C302" s="317"/>
      <c r="D302" s="297" t="s">
        <v>521</v>
      </c>
      <c r="E302" s="301">
        <f>CUW!E96</f>
        <v>0</v>
      </c>
      <c r="F302" s="301">
        <f>CUW!F96</f>
        <v>0</v>
      </c>
      <c r="G302" s="320" t="e">
        <f t="shared" si="6"/>
        <v>#DIV/0!</v>
      </c>
    </row>
    <row r="303" spans="1:9" hidden="1">
      <c r="A303" s="316"/>
      <c r="B303" s="317"/>
      <c r="C303" s="317"/>
      <c r="D303" s="297" t="s">
        <v>522</v>
      </c>
      <c r="E303" s="301">
        <f>CUW!E97</f>
        <v>0</v>
      </c>
      <c r="F303" s="301">
        <f>CUW!F97</f>
        <v>0</v>
      </c>
      <c r="G303" s="320" t="e">
        <f t="shared" si="6"/>
        <v>#DIV/0!</v>
      </c>
    </row>
    <row r="304" spans="1:9" hidden="1">
      <c r="A304" s="316"/>
      <c r="B304" s="317"/>
      <c r="C304" s="317"/>
      <c r="D304" s="297" t="s">
        <v>523</v>
      </c>
      <c r="E304" s="301">
        <f>CUW!E98</f>
        <v>0</v>
      </c>
      <c r="F304" s="301">
        <f>CUW!F98</f>
        <v>0</v>
      </c>
      <c r="G304" s="320" t="e">
        <f t="shared" si="6"/>
        <v>#DIV/0!</v>
      </c>
    </row>
    <row r="305" spans="1:9" hidden="1">
      <c r="A305" s="316"/>
      <c r="B305" s="317"/>
      <c r="C305" s="317"/>
      <c r="D305" s="306" t="s">
        <v>524</v>
      </c>
      <c r="E305" s="301">
        <f>CUW!E99</f>
        <v>0</v>
      </c>
      <c r="F305" s="301">
        <f>CUW!F99</f>
        <v>0</v>
      </c>
      <c r="G305" s="320" t="e">
        <f t="shared" si="6"/>
        <v>#DIV/0!</v>
      </c>
    </row>
    <row r="306" spans="1:9" hidden="1">
      <c r="A306" s="316"/>
      <c r="B306" s="317"/>
      <c r="C306" s="317"/>
      <c r="D306" s="295" t="s">
        <v>525</v>
      </c>
      <c r="E306" s="301">
        <f>CUW!E100</f>
        <v>0</v>
      </c>
      <c r="F306" s="301">
        <f>CUW!F100</f>
        <v>0</v>
      </c>
      <c r="G306" s="320" t="e">
        <f t="shared" si="6"/>
        <v>#DIV/0!</v>
      </c>
    </row>
    <row r="307" spans="1:9" hidden="1">
      <c r="A307" s="316"/>
      <c r="B307" s="317"/>
      <c r="C307" s="317"/>
      <c r="D307" s="295" t="s">
        <v>563</v>
      </c>
      <c r="E307" s="301">
        <f>CUW!E101</f>
        <v>0</v>
      </c>
      <c r="F307" s="301">
        <f>CUW!F101</f>
        <v>0</v>
      </c>
      <c r="G307" s="320" t="e">
        <f t="shared" si="6"/>
        <v>#DIV/0!</v>
      </c>
    </row>
    <row r="308" spans="1:9" hidden="1">
      <c r="A308" s="316"/>
      <c r="B308" s="317"/>
      <c r="C308" s="317"/>
      <c r="D308" s="295" t="s">
        <v>564</v>
      </c>
      <c r="E308" s="301">
        <f>CUW!E102</f>
        <v>0</v>
      </c>
      <c r="F308" s="301">
        <f>CUW!F102</f>
        <v>0</v>
      </c>
      <c r="G308" s="320" t="e">
        <f t="shared" si="6"/>
        <v>#DIV/0!</v>
      </c>
    </row>
    <row r="309" spans="1:9" ht="30">
      <c r="A309" s="316"/>
      <c r="B309" s="317"/>
      <c r="C309" s="293">
        <v>2310</v>
      </c>
      <c r="D309" s="293" t="s">
        <v>328</v>
      </c>
      <c r="E309" s="280">
        <f>SUM(E310:E314)</f>
        <v>65760</v>
      </c>
      <c r="F309" s="280">
        <f>SUM(F310:F314)</f>
        <v>68520</v>
      </c>
      <c r="G309" s="302">
        <f t="shared" ref="G309:G314" si="7">SUM(F309/E309)</f>
        <v>1.0419708029197081</v>
      </c>
    </row>
    <row r="310" spans="1:9">
      <c r="A310" s="316"/>
      <c r="B310" s="317"/>
      <c r="C310" s="317"/>
      <c r="D310" s="295" t="s">
        <v>600</v>
      </c>
      <c r="E310" s="321">
        <f>CUW!E104</f>
        <v>21600</v>
      </c>
      <c r="F310" s="321">
        <f>CUW!F104</f>
        <v>22800</v>
      </c>
      <c r="G310" s="320">
        <f t="shared" si="7"/>
        <v>1.0555555555555556</v>
      </c>
    </row>
    <row r="311" spans="1:9">
      <c r="A311" s="316"/>
      <c r="B311" s="317"/>
      <c r="C311" s="317"/>
      <c r="D311" s="295" t="s">
        <v>597</v>
      </c>
      <c r="E311" s="321">
        <f>CUW!E105</f>
        <v>24360</v>
      </c>
      <c r="F311" s="321">
        <f>CUW!F105</f>
        <v>18600</v>
      </c>
      <c r="G311" s="320">
        <f t="shared" si="7"/>
        <v>0.76354679802955661</v>
      </c>
    </row>
    <row r="312" spans="1:9">
      <c r="A312" s="316"/>
      <c r="B312" s="317"/>
      <c r="C312" s="317"/>
      <c r="D312" s="295" t="s">
        <v>598</v>
      </c>
      <c r="E312" s="321">
        <f>CUW!E106</f>
        <v>9120</v>
      </c>
      <c r="F312" s="321">
        <f>CUW!F106</f>
        <v>9120</v>
      </c>
      <c r="G312" s="320">
        <f t="shared" si="7"/>
        <v>1</v>
      </c>
    </row>
    <row r="313" spans="1:9">
      <c r="A313" s="316"/>
      <c r="B313" s="317"/>
      <c r="C313" s="317"/>
      <c r="D313" s="295" t="s">
        <v>599</v>
      </c>
      <c r="E313" s="321">
        <f>CUW!E107</f>
        <v>6000</v>
      </c>
      <c r="F313" s="321">
        <f>CUW!F107</f>
        <v>7920</v>
      </c>
      <c r="G313" s="320">
        <f t="shared" si="7"/>
        <v>1.32</v>
      </c>
    </row>
    <row r="314" spans="1:9">
      <c r="A314" s="316"/>
      <c r="B314" s="317"/>
      <c r="C314" s="317"/>
      <c r="D314" s="295" t="s">
        <v>601</v>
      </c>
      <c r="E314" s="321">
        <f>CUW!E108</f>
        <v>4680</v>
      </c>
      <c r="F314" s="321">
        <f>CUW!F108</f>
        <v>10080</v>
      </c>
      <c r="G314" s="320">
        <f t="shared" si="7"/>
        <v>2.1538461538461537</v>
      </c>
    </row>
    <row r="315" spans="1:9">
      <c r="A315" s="791" t="s">
        <v>433</v>
      </c>
      <c r="B315" s="792"/>
      <c r="C315" s="792"/>
      <c r="D315" s="793"/>
      <c r="E315" s="291">
        <f>E292+E309</f>
        <v>492137</v>
      </c>
      <c r="F315" s="291">
        <f>F292+F309</f>
        <v>522315</v>
      </c>
      <c r="G315" s="292">
        <f t="shared" si="5"/>
        <v>1.0613203234058808</v>
      </c>
      <c r="H315" s="274">
        <f>CUW!F109</f>
        <v>522315</v>
      </c>
      <c r="I315" s="304"/>
    </row>
    <row r="316" spans="1:9">
      <c r="A316" s="287">
        <v>801</v>
      </c>
      <c r="B316" s="287">
        <v>80110</v>
      </c>
      <c r="C316" s="287">
        <v>3020</v>
      </c>
      <c r="D316" s="279" t="s">
        <v>96</v>
      </c>
      <c r="E316" s="280">
        <f>SUM(E317:E319)</f>
        <v>195680</v>
      </c>
      <c r="F316" s="280">
        <f>SUM(F317:F319)</f>
        <v>57380</v>
      </c>
      <c r="G316" s="281">
        <f t="shared" si="5"/>
        <v>0.29323385118560918</v>
      </c>
      <c r="I316" s="274"/>
    </row>
    <row r="317" spans="1:9" ht="30">
      <c r="A317" s="289"/>
      <c r="B317" s="289"/>
      <c r="C317" s="289"/>
      <c r="D317" s="21" t="s">
        <v>799</v>
      </c>
      <c r="E317" s="284">
        <f>'ZSO Kom'!E60</f>
        <v>56920</v>
      </c>
      <c r="F317" s="284">
        <f>SUM('ZSO Kom'!F60)</f>
        <v>22100</v>
      </c>
      <c r="G317" s="285">
        <f t="shared" si="5"/>
        <v>0.38826423049894587</v>
      </c>
      <c r="I317" s="274"/>
    </row>
    <row r="318" spans="1:9" ht="30">
      <c r="A318" s="289"/>
      <c r="B318" s="289"/>
      <c r="C318" s="289"/>
      <c r="D318" s="21" t="s">
        <v>800</v>
      </c>
      <c r="E318" s="284">
        <f>SUM('ZS Mich'!E62)</f>
        <v>75000</v>
      </c>
      <c r="F318" s="284">
        <f>SUM('ZS Mich'!F62)</f>
        <v>18780</v>
      </c>
      <c r="G318" s="285">
        <f t="shared" si="5"/>
        <v>0.25040000000000001</v>
      </c>
      <c r="I318" s="274"/>
    </row>
    <row r="319" spans="1:9" ht="30">
      <c r="A319" s="289"/>
      <c r="B319" s="289"/>
      <c r="C319" s="289"/>
      <c r="D319" s="21" t="s">
        <v>801</v>
      </c>
      <c r="E319" s="284">
        <f>SUM('ZSP NW'!E102)</f>
        <v>63760</v>
      </c>
      <c r="F319" s="284">
        <f>SUM('ZSP NW'!F102)</f>
        <v>16500</v>
      </c>
      <c r="G319" s="285">
        <f t="shared" si="5"/>
        <v>0.25878293601003766</v>
      </c>
      <c r="I319" s="274"/>
    </row>
    <row r="320" spans="1:9">
      <c r="A320" s="289" t="s">
        <v>345</v>
      </c>
      <c r="B320" s="289" t="s">
        <v>346</v>
      </c>
      <c r="C320" s="287">
        <v>4010</v>
      </c>
      <c r="D320" s="279" t="s">
        <v>348</v>
      </c>
      <c r="E320" s="280">
        <f>SUM(E321:E326)</f>
        <v>2814687</v>
      </c>
      <c r="F320" s="280">
        <f>SUM(F321:F326)</f>
        <v>1402000</v>
      </c>
      <c r="G320" s="281">
        <f t="shared" si="5"/>
        <v>0.49810156511185794</v>
      </c>
      <c r="I320" s="274"/>
    </row>
    <row r="321" spans="1:9" ht="32.25" customHeight="1">
      <c r="A321" s="289"/>
      <c r="B321" s="289"/>
      <c r="C321" s="289"/>
      <c r="D321" s="21" t="s">
        <v>802</v>
      </c>
      <c r="E321" s="284">
        <f>SUM('ZSO Kom'!E64)</f>
        <v>923427</v>
      </c>
      <c r="F321" s="284">
        <f>SUM('ZSO Kom'!F64)</f>
        <v>588400</v>
      </c>
      <c r="G321" s="285">
        <f t="shared" si="5"/>
        <v>0.63719167838930424</v>
      </c>
      <c r="I321" s="274"/>
    </row>
    <row r="322" spans="1:9" ht="17.25" customHeight="1">
      <c r="A322" s="289"/>
      <c r="B322" s="289"/>
      <c r="C322" s="289"/>
      <c r="D322" s="283" t="str">
        <f>'ZSO Kom'!D65</f>
        <v xml:space="preserve"> nagrody jubileuszowe (3)</v>
      </c>
      <c r="E322" s="284">
        <f>SUM('ZSO Kom'!E65)</f>
        <v>55700</v>
      </c>
      <c r="F322" s="284">
        <f>SUM('ZSO Kom'!F65)</f>
        <v>16600</v>
      </c>
      <c r="G322" s="285">
        <f t="shared" si="5"/>
        <v>0.29802513464991021</v>
      </c>
      <c r="I322" s="274"/>
    </row>
    <row r="323" spans="1:9" ht="30.75" customHeight="1">
      <c r="A323" s="289"/>
      <c r="B323" s="289"/>
      <c r="C323" s="289"/>
      <c r="D323" s="283" t="s">
        <v>580</v>
      </c>
      <c r="E323" s="284">
        <f>SUM('ZS Mich'!E66)</f>
        <v>1085020</v>
      </c>
      <c r="F323" s="284">
        <f>SUM('ZS Mich'!F66)</f>
        <v>450000</v>
      </c>
      <c r="G323" s="285">
        <f t="shared" si="5"/>
        <v>0.41473889882214154</v>
      </c>
      <c r="I323" s="274"/>
    </row>
    <row r="324" spans="1:9" ht="18.75" customHeight="1">
      <c r="A324" s="289"/>
      <c r="B324" s="289"/>
      <c r="C324" s="289"/>
      <c r="D324" s="283" t="str">
        <f>'ZS Mich'!D67</f>
        <v xml:space="preserve"> nagrody jubileuszowe (1), odprawy emerytalne (1)</v>
      </c>
      <c r="E324" s="284">
        <f>SUM('ZS Mich'!E67)</f>
        <v>7500</v>
      </c>
      <c r="F324" s="284">
        <f>SUM('ZS Mich'!F67)</f>
        <v>18000</v>
      </c>
      <c r="G324" s="285">
        <f t="shared" si="5"/>
        <v>2.4</v>
      </c>
      <c r="I324" s="274"/>
    </row>
    <row r="325" spans="1:9" ht="33" customHeight="1">
      <c r="A325" s="289"/>
      <c r="B325" s="289"/>
      <c r="C325" s="289"/>
      <c r="D325" s="283" t="s">
        <v>579</v>
      </c>
      <c r="E325" s="284">
        <f>SUM('ZSP NW'!E106)</f>
        <v>718040</v>
      </c>
      <c r="F325" s="284">
        <f>SUM('ZSP NW'!F106)</f>
        <v>329000</v>
      </c>
      <c r="G325" s="285">
        <f t="shared" si="5"/>
        <v>0.45819174419252412</v>
      </c>
      <c r="I325" s="274"/>
    </row>
    <row r="326" spans="1:9" ht="18.75" customHeight="1">
      <c r="A326" s="289"/>
      <c r="B326" s="289"/>
      <c r="C326" s="289"/>
      <c r="D326" s="283" t="str">
        <f>'ZSP NW'!D107</f>
        <v>nagrody jubileuszowe, odprawy emerytalne</v>
      </c>
      <c r="E326" s="284">
        <f>'ZSP NW'!E107</f>
        <v>25000</v>
      </c>
      <c r="F326" s="284">
        <f>'ZSP NW'!F107</f>
        <v>0</v>
      </c>
      <c r="G326" s="285">
        <f t="shared" si="5"/>
        <v>0</v>
      </c>
      <c r="I326" s="274"/>
    </row>
    <row r="327" spans="1:9">
      <c r="A327" s="289" t="s">
        <v>345</v>
      </c>
      <c r="B327" s="289" t="s">
        <v>346</v>
      </c>
      <c r="C327" s="287">
        <v>4040</v>
      </c>
      <c r="D327" s="279" t="s">
        <v>349</v>
      </c>
      <c r="E327" s="280">
        <f>SUM(E328:E330)</f>
        <v>286000</v>
      </c>
      <c r="F327" s="280">
        <f>SUM(F328:F330)</f>
        <v>244400</v>
      </c>
      <c r="G327" s="281">
        <f t="shared" si="5"/>
        <v>0.8545454545454545</v>
      </c>
      <c r="I327" s="274"/>
    </row>
    <row r="328" spans="1:9" ht="30" customHeight="1">
      <c r="A328" s="289"/>
      <c r="B328" s="289"/>
      <c r="C328" s="289"/>
      <c r="D328" s="283" t="s">
        <v>421</v>
      </c>
      <c r="E328" s="284">
        <f>SUM('ZSO Kom'!E66)</f>
        <v>101000</v>
      </c>
      <c r="F328" s="284">
        <f>SUM('ZSO Kom'!F66)</f>
        <v>94000</v>
      </c>
      <c r="G328" s="285">
        <f t="shared" si="5"/>
        <v>0.93069306930693074</v>
      </c>
      <c r="I328" s="274"/>
    </row>
    <row r="329" spans="1:9" ht="30.75" customHeight="1">
      <c r="A329" s="289"/>
      <c r="B329" s="289"/>
      <c r="C329" s="289"/>
      <c r="D329" s="283" t="s">
        <v>143</v>
      </c>
      <c r="E329" s="284">
        <f>SUM('ZS Mich'!E68)</f>
        <v>114000</v>
      </c>
      <c r="F329" s="284">
        <f>SUM('ZS Mich'!F68)</f>
        <v>88400</v>
      </c>
      <c r="G329" s="285">
        <f t="shared" si="5"/>
        <v>0.77543859649122804</v>
      </c>
      <c r="I329" s="274"/>
    </row>
    <row r="330" spans="1:9" ht="29.25" customHeight="1">
      <c r="A330" s="289"/>
      <c r="B330" s="289"/>
      <c r="C330" s="289"/>
      <c r="D330" s="283" t="s">
        <v>65</v>
      </c>
      <c r="E330" s="284">
        <f>SUM('ZSP NW'!E108)</f>
        <v>71000</v>
      </c>
      <c r="F330" s="284">
        <f>SUM('ZSP NW'!F108)</f>
        <v>62000</v>
      </c>
      <c r="G330" s="285">
        <f t="shared" si="5"/>
        <v>0.87323943661971826</v>
      </c>
      <c r="I330" s="274"/>
    </row>
    <row r="331" spans="1:9">
      <c r="A331" s="289" t="s">
        <v>345</v>
      </c>
      <c r="B331" s="289" t="s">
        <v>346</v>
      </c>
      <c r="C331" s="287">
        <v>4110</v>
      </c>
      <c r="D331" s="279" t="s">
        <v>446</v>
      </c>
      <c r="E331" s="280">
        <f>SUM(E332:E334)</f>
        <v>581986</v>
      </c>
      <c r="F331" s="280">
        <f>SUM(F332:F334)</f>
        <v>294500</v>
      </c>
      <c r="G331" s="281">
        <f t="shared" si="5"/>
        <v>0.50602591814923381</v>
      </c>
      <c r="I331" s="274"/>
    </row>
    <row r="332" spans="1:9">
      <c r="A332" s="289"/>
      <c r="B332" s="289"/>
      <c r="C332" s="289"/>
      <c r="D332" s="283" t="s">
        <v>107</v>
      </c>
      <c r="E332" s="284">
        <f>SUM('ZSO Kom'!E67)</f>
        <v>201366</v>
      </c>
      <c r="F332" s="284">
        <f>SUM('ZSO Kom'!F67)</f>
        <v>128000</v>
      </c>
      <c r="G332" s="285">
        <f t="shared" si="5"/>
        <v>0.63565845276759736</v>
      </c>
      <c r="I332" s="274"/>
    </row>
    <row r="333" spans="1:9">
      <c r="A333" s="289"/>
      <c r="B333" s="289"/>
      <c r="C333" s="289"/>
      <c r="D333" s="283" t="s">
        <v>108</v>
      </c>
      <c r="E333" s="284">
        <f>SUM('ZS Mich'!E69)</f>
        <v>223630</v>
      </c>
      <c r="F333" s="284">
        <f>SUM('ZS Mich'!F69)</f>
        <v>95500</v>
      </c>
      <c r="G333" s="285">
        <f t="shared" si="5"/>
        <v>0.42704467200286189</v>
      </c>
      <c r="I333" s="274"/>
    </row>
    <row r="334" spans="1:9">
      <c r="A334" s="289"/>
      <c r="B334" s="289"/>
      <c r="C334" s="289"/>
      <c r="D334" s="283" t="s">
        <v>109</v>
      </c>
      <c r="E334" s="284">
        <f>SUM('ZSP NW'!E109)</f>
        <v>156990</v>
      </c>
      <c r="F334" s="284">
        <f>SUM('ZSP NW'!F109)</f>
        <v>71000</v>
      </c>
      <c r="G334" s="285">
        <f t="shared" si="5"/>
        <v>0.45225810561182239</v>
      </c>
    </row>
    <row r="335" spans="1:9">
      <c r="A335" s="289" t="s">
        <v>345</v>
      </c>
      <c r="B335" s="289" t="s">
        <v>346</v>
      </c>
      <c r="C335" s="287">
        <v>4120</v>
      </c>
      <c r="D335" s="279" t="s">
        <v>301</v>
      </c>
      <c r="E335" s="280">
        <f>SUM(E336:E338)</f>
        <v>74544</v>
      </c>
      <c r="F335" s="280">
        <f>SUM(F336:F338)</f>
        <v>36200</v>
      </c>
      <c r="G335" s="281">
        <f t="shared" si="5"/>
        <v>0.48561923159476283</v>
      </c>
      <c r="I335" s="274"/>
    </row>
    <row r="336" spans="1:9">
      <c r="A336" s="289"/>
      <c r="B336" s="289"/>
      <c r="C336" s="289"/>
      <c r="D336" s="283" t="s">
        <v>429</v>
      </c>
      <c r="E336" s="284">
        <f>SUM('ZSO Kom'!E68)</f>
        <v>26034</v>
      </c>
      <c r="F336" s="284">
        <f>SUM('ZSO Kom'!F68)</f>
        <v>15200</v>
      </c>
      <c r="G336" s="285">
        <f t="shared" si="5"/>
        <v>0.58385188599523696</v>
      </c>
    </row>
    <row r="337" spans="1:9">
      <c r="A337" s="289"/>
      <c r="B337" s="289"/>
      <c r="C337" s="289"/>
      <c r="D337" s="283" t="s">
        <v>430</v>
      </c>
      <c r="E337" s="284">
        <f>SUM('ZS Mich'!E70)</f>
        <v>29060</v>
      </c>
      <c r="F337" s="284">
        <f>SUM('ZS Mich'!F70)</f>
        <v>12000</v>
      </c>
      <c r="G337" s="285">
        <f t="shared" si="5"/>
        <v>0.41293874741913283</v>
      </c>
    </row>
    <row r="338" spans="1:9">
      <c r="A338" s="289"/>
      <c r="B338" s="289"/>
      <c r="C338" s="289"/>
      <c r="D338" s="283" t="s">
        <v>431</v>
      </c>
      <c r="E338" s="284">
        <f>SUM('ZSP NW'!E110)</f>
        <v>19450</v>
      </c>
      <c r="F338" s="284">
        <f>SUM('ZSP NW'!F110)</f>
        <v>9000</v>
      </c>
      <c r="G338" s="285">
        <f t="shared" si="5"/>
        <v>0.46272493573264784</v>
      </c>
    </row>
    <row r="339" spans="1:9">
      <c r="A339" s="289"/>
      <c r="B339" s="289"/>
      <c r="C339" s="287">
        <v>4170</v>
      </c>
      <c r="D339" s="279" t="s">
        <v>235</v>
      </c>
      <c r="E339" s="280">
        <f>SUM(E340+E342+E341)</f>
        <v>3000</v>
      </c>
      <c r="F339" s="280">
        <f>SUM(F340:F342)</f>
        <v>0</v>
      </c>
      <c r="G339" s="281">
        <f t="shared" si="5"/>
        <v>0</v>
      </c>
      <c r="I339" s="274"/>
    </row>
    <row r="340" spans="1:9" ht="30">
      <c r="A340" s="289"/>
      <c r="B340" s="289"/>
      <c r="C340" s="289"/>
      <c r="D340" s="283" t="s">
        <v>216</v>
      </c>
      <c r="E340" s="284">
        <f>SUM('ZSO Kom'!E70)</f>
        <v>3000</v>
      </c>
      <c r="F340" s="284">
        <f>SUM('ZSO Kom'!F70)</f>
        <v>0</v>
      </c>
      <c r="G340" s="285">
        <f t="shared" si="5"/>
        <v>0</v>
      </c>
    </row>
    <row r="341" spans="1:9" ht="30" hidden="1" customHeight="1">
      <c r="A341" s="289"/>
      <c r="B341" s="289"/>
      <c r="C341" s="289"/>
      <c r="D341" s="297" t="s">
        <v>144</v>
      </c>
      <c r="E341" s="284">
        <f>SUM('ZS Mich'!E72)</f>
        <v>0</v>
      </c>
      <c r="F341" s="284">
        <f>SUM('ZS Mich'!F72)</f>
        <v>0</v>
      </c>
      <c r="G341" s="285" t="e">
        <f t="shared" si="5"/>
        <v>#DIV/0!</v>
      </c>
    </row>
    <row r="342" spans="1:9" ht="19.5" hidden="1" customHeight="1">
      <c r="A342" s="289"/>
      <c r="B342" s="289"/>
      <c r="C342" s="289"/>
      <c r="D342" s="283" t="s">
        <v>226</v>
      </c>
      <c r="E342" s="284">
        <f>SUM('ZSP NW'!E112)</f>
        <v>0</v>
      </c>
      <c r="F342" s="284">
        <f>SUM('ZSP NW'!F112)</f>
        <v>0</v>
      </c>
      <c r="G342" s="285" t="e">
        <f t="shared" si="5"/>
        <v>#DIV/0!</v>
      </c>
    </row>
    <row r="343" spans="1:9" ht="19.5" customHeight="1">
      <c r="A343" s="289"/>
      <c r="B343" s="289"/>
      <c r="C343" s="287">
        <v>4190</v>
      </c>
      <c r="D343" s="293" t="s">
        <v>452</v>
      </c>
      <c r="E343" s="284">
        <f>SUM(E344:E346)</f>
        <v>1400</v>
      </c>
      <c r="F343" s="284">
        <f>SUM(F344:F346)</f>
        <v>900</v>
      </c>
      <c r="G343" s="285">
        <f t="shared" si="5"/>
        <v>0.6428571428571429</v>
      </c>
      <c r="I343" s="274"/>
    </row>
    <row r="344" spans="1:9" ht="19.5" customHeight="1">
      <c r="A344" s="289"/>
      <c r="B344" s="289"/>
      <c r="C344" s="289"/>
      <c r="D344" s="283" t="s">
        <v>466</v>
      </c>
      <c r="E344" s="284">
        <f>'ZSO Kom'!E72</f>
        <v>600</v>
      </c>
      <c r="F344" s="284">
        <f>'ZSO Kom'!F72</f>
        <v>400</v>
      </c>
      <c r="G344" s="285">
        <f t="shared" si="5"/>
        <v>0.66666666666666663</v>
      </c>
    </row>
    <row r="345" spans="1:9" ht="19.5" customHeight="1">
      <c r="A345" s="289"/>
      <c r="B345" s="289"/>
      <c r="C345" s="289"/>
      <c r="D345" s="297" t="s">
        <v>467</v>
      </c>
      <c r="E345" s="284">
        <f>'ZS Mich'!E73</f>
        <v>0</v>
      </c>
      <c r="F345" s="284">
        <f>'ZS Mich'!F73</f>
        <v>0</v>
      </c>
      <c r="G345" s="285" t="e">
        <f t="shared" si="5"/>
        <v>#DIV/0!</v>
      </c>
    </row>
    <row r="346" spans="1:9" ht="19.5" customHeight="1">
      <c r="A346" s="289"/>
      <c r="B346" s="289"/>
      <c r="C346" s="289"/>
      <c r="D346" s="297" t="s">
        <v>468</v>
      </c>
      <c r="E346" s="284">
        <f>'ZSP NW'!E113</f>
        <v>800</v>
      </c>
      <c r="F346" s="284">
        <f>'ZSP NW'!F113</f>
        <v>500</v>
      </c>
      <c r="G346" s="285">
        <f t="shared" si="5"/>
        <v>0.625</v>
      </c>
    </row>
    <row r="347" spans="1:9">
      <c r="A347" s="289" t="s">
        <v>345</v>
      </c>
      <c r="B347" s="289" t="s">
        <v>346</v>
      </c>
      <c r="C347" s="287">
        <v>4210</v>
      </c>
      <c r="D347" s="279" t="s">
        <v>274</v>
      </c>
      <c r="E347" s="280">
        <f>SUM(E348:E350)</f>
        <v>74610</v>
      </c>
      <c r="F347" s="280">
        <f>SUM(F348:F350)</f>
        <v>45100</v>
      </c>
      <c r="G347" s="281">
        <f t="shared" si="5"/>
        <v>0.60447661171424738</v>
      </c>
      <c r="I347" s="274"/>
    </row>
    <row r="348" spans="1:9" ht="46.9" customHeight="1">
      <c r="A348" s="289"/>
      <c r="B348" s="289"/>
      <c r="C348" s="289"/>
      <c r="D348" s="283" t="s">
        <v>662</v>
      </c>
      <c r="E348" s="284">
        <f>SUM('ZSO Kom'!E74)</f>
        <v>26000</v>
      </c>
      <c r="F348" s="284">
        <f>SUM('ZSO Kom'!F74)</f>
        <v>12600</v>
      </c>
      <c r="G348" s="285">
        <f t="shared" si="5"/>
        <v>0.48461538461538461</v>
      </c>
    </row>
    <row r="349" spans="1:9" ht="45" customHeight="1">
      <c r="A349" s="289"/>
      <c r="B349" s="289"/>
      <c r="C349" s="289"/>
      <c r="D349" s="29" t="s">
        <v>793</v>
      </c>
      <c r="E349" s="284">
        <f>SUM('ZS Mich'!E76)</f>
        <v>23610</v>
      </c>
      <c r="F349" s="284">
        <f>SUM('ZS Mich'!F76)</f>
        <v>16000</v>
      </c>
      <c r="G349" s="285">
        <f t="shared" si="5"/>
        <v>0.67767894959762809</v>
      </c>
    </row>
    <row r="350" spans="1:9" ht="33.75" customHeight="1">
      <c r="A350" s="289"/>
      <c r="B350" s="289"/>
      <c r="C350" s="289"/>
      <c r="D350" s="29" t="s">
        <v>847</v>
      </c>
      <c r="E350" s="284">
        <f>SUM('ZSP NW'!E116)</f>
        <v>25000</v>
      </c>
      <c r="F350" s="284">
        <f>SUM('ZSP NW'!F116)</f>
        <v>16500</v>
      </c>
      <c r="G350" s="285">
        <f t="shared" si="5"/>
        <v>0.66</v>
      </c>
    </row>
    <row r="351" spans="1:9" ht="19.5" hidden="1" customHeight="1">
      <c r="A351" s="289"/>
      <c r="B351" s="289"/>
      <c r="C351" s="287">
        <v>4220</v>
      </c>
      <c r="D351" s="279" t="s">
        <v>492</v>
      </c>
      <c r="E351" s="280">
        <f>E352+E353+E354</f>
        <v>0</v>
      </c>
      <c r="F351" s="280">
        <f>F352+F353+F354</f>
        <v>0</v>
      </c>
      <c r="G351" s="281" t="e">
        <f t="shared" si="5"/>
        <v>#DIV/0!</v>
      </c>
    </row>
    <row r="352" spans="1:9" ht="22.15" hidden="1" customHeight="1">
      <c r="A352" s="289"/>
      <c r="B352" s="289"/>
      <c r="C352" s="289"/>
      <c r="D352" s="283" t="s">
        <v>494</v>
      </c>
      <c r="E352" s="284"/>
      <c r="F352" s="284"/>
      <c r="G352" s="285" t="e">
        <f>SUM(F352/E352)</f>
        <v>#DIV/0!</v>
      </c>
    </row>
    <row r="353" spans="1:9" ht="19.5" hidden="1" customHeight="1">
      <c r="A353" s="289"/>
      <c r="B353" s="289"/>
      <c r="C353" s="289"/>
      <c r="D353" s="283" t="s">
        <v>495</v>
      </c>
      <c r="E353" s="284"/>
      <c r="F353" s="284"/>
      <c r="G353" s="285" t="e">
        <f>SUM(F353/E353)</f>
        <v>#DIV/0!</v>
      </c>
    </row>
    <row r="354" spans="1:9" ht="0.75" hidden="1" customHeight="1">
      <c r="A354" s="289"/>
      <c r="B354" s="289"/>
      <c r="C354" s="289"/>
      <c r="D354" s="283" t="s">
        <v>496</v>
      </c>
      <c r="E354" s="284">
        <f>'ZSP NW'!E117</f>
        <v>0</v>
      </c>
      <c r="F354" s="284">
        <f>'ZSP NW'!F117</f>
        <v>0</v>
      </c>
      <c r="G354" s="285" t="e">
        <f>SUM(F354/E354)</f>
        <v>#DIV/0!</v>
      </c>
    </row>
    <row r="355" spans="1:9">
      <c r="A355" s="289" t="s">
        <v>345</v>
      </c>
      <c r="B355" s="289" t="s">
        <v>346</v>
      </c>
      <c r="C355" s="287">
        <v>4240</v>
      </c>
      <c r="D355" s="279" t="s">
        <v>179</v>
      </c>
      <c r="E355" s="280">
        <f>SUM(E356:E358)</f>
        <v>29565</v>
      </c>
      <c r="F355" s="280">
        <f>SUM(F356:F358)</f>
        <v>16700</v>
      </c>
      <c r="G355" s="281">
        <f t="shared" ref="G355:G398" si="8">SUM(F355/E355)</f>
        <v>0.5648570945374598</v>
      </c>
      <c r="I355" s="274"/>
    </row>
    <row r="356" spans="1:9" ht="18.75" customHeight="1">
      <c r="A356" s="289"/>
      <c r="B356" s="289"/>
      <c r="C356" s="289"/>
      <c r="D356" s="283" t="s">
        <v>245</v>
      </c>
      <c r="E356" s="284">
        <f>SUM('ZSO Kom'!E76)</f>
        <v>14000</v>
      </c>
      <c r="F356" s="284">
        <f>SUM('ZSO Kom'!F75)</f>
        <v>2700</v>
      </c>
      <c r="G356" s="285">
        <f t="shared" si="8"/>
        <v>0.19285714285714287</v>
      </c>
    </row>
    <row r="357" spans="1:9" ht="21.75" customHeight="1">
      <c r="A357" s="289"/>
      <c r="B357" s="289"/>
      <c r="C357" s="289"/>
      <c r="D357" s="283" t="s">
        <v>83</v>
      </c>
      <c r="E357" s="284">
        <f>'ZS Mich'!E80</f>
        <v>9000</v>
      </c>
      <c r="F357" s="284">
        <f>SUM('ZS Mich'!F79)</f>
        <v>5000</v>
      </c>
      <c r="G357" s="285">
        <f t="shared" si="8"/>
        <v>0.55555555555555558</v>
      </c>
    </row>
    <row r="358" spans="1:9" ht="20.45" customHeight="1">
      <c r="A358" s="289"/>
      <c r="B358" s="289"/>
      <c r="C358" s="289"/>
      <c r="D358" s="283" t="s">
        <v>576</v>
      </c>
      <c r="E358" s="284">
        <f>SUM('ZSP NW'!E120)</f>
        <v>6565</v>
      </c>
      <c r="F358" s="284">
        <f>SUM('ZSP NW'!F119)</f>
        <v>9000</v>
      </c>
      <c r="G358" s="285">
        <f t="shared" si="8"/>
        <v>1.3709063214013708</v>
      </c>
    </row>
    <row r="359" spans="1:9">
      <c r="A359" s="289" t="s">
        <v>345</v>
      </c>
      <c r="B359" s="289" t="s">
        <v>346</v>
      </c>
      <c r="C359" s="287">
        <v>4270</v>
      </c>
      <c r="D359" s="279" t="s">
        <v>238</v>
      </c>
      <c r="E359" s="280">
        <f>SUM(E360:E364)</f>
        <v>10600</v>
      </c>
      <c r="F359" s="280">
        <f>SUM(F360:F364)</f>
        <v>4000</v>
      </c>
      <c r="G359" s="281">
        <f t="shared" si="8"/>
        <v>0.37735849056603776</v>
      </c>
      <c r="I359" s="274"/>
    </row>
    <row r="360" spans="1:9" ht="21.75" customHeight="1">
      <c r="A360" s="289"/>
      <c r="B360" s="289"/>
      <c r="C360" s="289"/>
      <c r="D360" s="283" t="s">
        <v>362</v>
      </c>
      <c r="E360" s="284">
        <f>SUM('ZSO Kom'!E78)</f>
        <v>6600</v>
      </c>
      <c r="F360" s="284">
        <f>SUM('ZSO Kom'!F78)</f>
        <v>1500</v>
      </c>
      <c r="G360" s="285">
        <f t="shared" si="8"/>
        <v>0.22727272727272727</v>
      </c>
    </row>
    <row r="361" spans="1:9" ht="22.5" customHeight="1">
      <c r="A361" s="289"/>
      <c r="B361" s="289"/>
      <c r="C361" s="289"/>
      <c r="D361" s="283" t="s">
        <v>363</v>
      </c>
      <c r="E361" s="284">
        <f>SUM('ZS Mich'!E84)</f>
        <v>3000</v>
      </c>
      <c r="F361" s="284">
        <f>SUM('ZS Mich'!F84)</f>
        <v>1500</v>
      </c>
      <c r="G361" s="285">
        <f t="shared" si="8"/>
        <v>0.5</v>
      </c>
    </row>
    <row r="362" spans="1:9" ht="18.75" customHeight="1">
      <c r="A362" s="289"/>
      <c r="B362" s="289"/>
      <c r="C362" s="289"/>
      <c r="D362" s="283" t="s">
        <v>62</v>
      </c>
      <c r="E362" s="284">
        <f>SUM('ZSP NW'!E124)</f>
        <v>1000</v>
      </c>
      <c r="F362" s="284">
        <f>SUM('ZSP NW'!F124)</f>
        <v>1000</v>
      </c>
      <c r="G362" s="285">
        <f t="shared" si="8"/>
        <v>1</v>
      </c>
    </row>
    <row r="363" spans="1:9" ht="36.6" hidden="1" customHeight="1">
      <c r="A363" s="289"/>
      <c r="B363" s="289"/>
      <c r="C363" s="289"/>
      <c r="D363" s="296" t="s">
        <v>549</v>
      </c>
      <c r="E363" s="284">
        <f>'ZSO Kom'!E79</f>
        <v>0</v>
      </c>
      <c r="F363" s="284">
        <f>'ZSO Kom'!F79</f>
        <v>0</v>
      </c>
      <c r="G363" s="285" t="e">
        <f t="shared" si="8"/>
        <v>#DIV/0!</v>
      </c>
    </row>
    <row r="364" spans="1:9" ht="44.45" hidden="1" customHeight="1">
      <c r="A364" s="289"/>
      <c r="B364" s="289"/>
      <c r="C364" s="289"/>
      <c r="D364" s="297" t="s">
        <v>577</v>
      </c>
      <c r="E364" s="284">
        <f>'ZS Mich'!E85</f>
        <v>0</v>
      </c>
      <c r="F364" s="284">
        <f>SUM('ZS Mich'!F85)</f>
        <v>0</v>
      </c>
      <c r="G364" s="285" t="e">
        <f t="shared" si="8"/>
        <v>#DIV/0!</v>
      </c>
      <c r="I364" s="274"/>
    </row>
    <row r="365" spans="1:9">
      <c r="A365" s="289"/>
      <c r="B365" s="289"/>
      <c r="C365" s="287">
        <v>4280</v>
      </c>
      <c r="D365" s="279" t="s">
        <v>124</v>
      </c>
      <c r="E365" s="280">
        <f>SUM(E366:E368)</f>
        <v>4600</v>
      </c>
      <c r="F365" s="280">
        <f>SUM(F366:F368)</f>
        <v>1050</v>
      </c>
      <c r="G365" s="281">
        <f t="shared" si="8"/>
        <v>0.22826086956521738</v>
      </c>
      <c r="I365" s="274"/>
    </row>
    <row r="366" spans="1:9" ht="30">
      <c r="A366" s="289"/>
      <c r="B366" s="289"/>
      <c r="C366" s="289"/>
      <c r="D366" s="283" t="s">
        <v>323</v>
      </c>
      <c r="E366" s="284">
        <f>SUM('ZSO Kom'!E80)</f>
        <v>1100</v>
      </c>
      <c r="F366" s="284">
        <f>SUM('ZSO Kom'!F80)</f>
        <v>200</v>
      </c>
      <c r="G366" s="285">
        <f t="shared" si="8"/>
        <v>0.18181818181818182</v>
      </c>
    </row>
    <row r="367" spans="1:9" ht="30">
      <c r="A367" s="289"/>
      <c r="B367" s="289"/>
      <c r="C367" s="289"/>
      <c r="D367" s="283" t="s">
        <v>324</v>
      </c>
      <c r="E367" s="284">
        <f>SUM('ZS Mich'!E86)</f>
        <v>2500</v>
      </c>
      <c r="F367" s="284">
        <f>SUM('ZS Mich'!F86)</f>
        <v>500</v>
      </c>
      <c r="G367" s="285">
        <f t="shared" si="8"/>
        <v>0.2</v>
      </c>
    </row>
    <row r="368" spans="1:9" ht="30">
      <c r="A368" s="289"/>
      <c r="B368" s="289"/>
      <c r="C368" s="289"/>
      <c r="D368" s="283" t="s">
        <v>88</v>
      </c>
      <c r="E368" s="284">
        <f>SUM('ZSP NW'!E125)</f>
        <v>1000</v>
      </c>
      <c r="F368" s="284">
        <f>SUM('ZSP NW'!F125)</f>
        <v>350</v>
      </c>
      <c r="G368" s="285">
        <f t="shared" si="8"/>
        <v>0.35</v>
      </c>
    </row>
    <row r="369" spans="1:9">
      <c r="A369" s="289" t="s">
        <v>345</v>
      </c>
      <c r="B369" s="289" t="s">
        <v>346</v>
      </c>
      <c r="C369" s="287">
        <v>4300</v>
      </c>
      <c r="D369" s="279" t="s">
        <v>100</v>
      </c>
      <c r="E369" s="280">
        <f>SUM(E370:E372)</f>
        <v>42575</v>
      </c>
      <c r="F369" s="280">
        <f>SUM(F370:F372)</f>
        <v>26200</v>
      </c>
      <c r="G369" s="281">
        <f t="shared" si="8"/>
        <v>0.61538461538461542</v>
      </c>
      <c r="I369" s="274"/>
    </row>
    <row r="370" spans="1:9" ht="47.25" customHeight="1">
      <c r="A370" s="289"/>
      <c r="B370" s="289"/>
      <c r="C370" s="289"/>
      <c r="D370" s="27" t="s">
        <v>803</v>
      </c>
      <c r="E370" s="284">
        <f>'ZSO Kom'!E82</f>
        <v>10140</v>
      </c>
      <c r="F370" s="284">
        <f>SUM('ZSO Kom'!F82)</f>
        <v>8200</v>
      </c>
      <c r="G370" s="285">
        <f t="shared" si="8"/>
        <v>0.80867850098619332</v>
      </c>
    </row>
    <row r="371" spans="1:9" ht="45.75" customHeight="1">
      <c r="A371" s="289"/>
      <c r="B371" s="289"/>
      <c r="C371" s="289"/>
      <c r="D371" s="21" t="s">
        <v>795</v>
      </c>
      <c r="E371" s="284">
        <f>SUM('ZS Mich'!E88)</f>
        <v>15000</v>
      </c>
      <c r="F371" s="284">
        <f>SUM('ZS Mich'!F88)</f>
        <v>11000</v>
      </c>
      <c r="G371" s="285">
        <f t="shared" si="8"/>
        <v>0.73333333333333328</v>
      </c>
    </row>
    <row r="372" spans="1:9" ht="33.75" customHeight="1">
      <c r="A372" s="289"/>
      <c r="B372" s="289"/>
      <c r="C372" s="289"/>
      <c r="D372" s="27" t="s">
        <v>848</v>
      </c>
      <c r="E372" s="284">
        <f>SUM('ZSP NW'!E127)</f>
        <v>17435</v>
      </c>
      <c r="F372" s="284">
        <f>SUM('ZSP NW'!F127)</f>
        <v>7000</v>
      </c>
      <c r="G372" s="285">
        <f t="shared" si="8"/>
        <v>0.401491253226269</v>
      </c>
    </row>
    <row r="373" spans="1:9">
      <c r="A373" s="289"/>
      <c r="B373" s="289"/>
      <c r="C373" s="287">
        <v>4360</v>
      </c>
      <c r="D373" s="279" t="s">
        <v>188</v>
      </c>
      <c r="E373" s="280">
        <f>SUM(E374+E375)</f>
        <v>3350</v>
      </c>
      <c r="F373" s="280">
        <f>SUM(F374+F375)</f>
        <v>2200</v>
      </c>
      <c r="G373" s="281">
        <f t="shared" si="8"/>
        <v>0.65671641791044777</v>
      </c>
      <c r="I373" s="274"/>
    </row>
    <row r="374" spans="1:9" ht="17.45" customHeight="1">
      <c r="A374" s="289"/>
      <c r="B374" s="289"/>
      <c r="C374" s="289"/>
      <c r="D374" s="283" t="s">
        <v>189</v>
      </c>
      <c r="E374" s="284">
        <f>SUM('ZS Mich'!E90)</f>
        <v>850</v>
      </c>
      <c r="F374" s="284">
        <f>SUM('ZS Mich'!F90)</f>
        <v>700</v>
      </c>
      <c r="G374" s="285">
        <f t="shared" si="8"/>
        <v>0.82352941176470584</v>
      </c>
    </row>
    <row r="375" spans="1:9" ht="18.75" customHeight="1">
      <c r="A375" s="289"/>
      <c r="B375" s="289"/>
      <c r="C375" s="289"/>
      <c r="D375" s="283" t="s">
        <v>190</v>
      </c>
      <c r="E375" s="284">
        <f>SUM('ZSP NW'!E129)</f>
        <v>2500</v>
      </c>
      <c r="F375" s="284">
        <f>SUM('ZSP NW'!F129)</f>
        <v>1500</v>
      </c>
      <c r="G375" s="285">
        <f t="shared" si="8"/>
        <v>0.6</v>
      </c>
    </row>
    <row r="376" spans="1:9">
      <c r="A376" s="289" t="s">
        <v>345</v>
      </c>
      <c r="B376" s="289" t="s">
        <v>346</v>
      </c>
      <c r="C376" s="287">
        <v>4410</v>
      </c>
      <c r="D376" s="279" t="s">
        <v>203</v>
      </c>
      <c r="E376" s="280">
        <f>SUM(E377:E379)</f>
        <v>3370</v>
      </c>
      <c r="F376" s="280">
        <f>SUM(F377:F379)</f>
        <v>200</v>
      </c>
      <c r="G376" s="281">
        <f t="shared" si="8"/>
        <v>5.9347181008902079E-2</v>
      </c>
    </row>
    <row r="377" spans="1:9" ht="18" customHeight="1">
      <c r="A377" s="289"/>
      <c r="B377" s="289"/>
      <c r="C377" s="289"/>
      <c r="D377" s="283" t="s">
        <v>408</v>
      </c>
      <c r="E377" s="284">
        <f>SUM('ZSO Kom'!E84)</f>
        <v>370</v>
      </c>
      <c r="F377" s="284">
        <f>SUM('ZSO Kom'!F84)</f>
        <v>150</v>
      </c>
      <c r="G377" s="285">
        <f t="shared" si="8"/>
        <v>0.40540540540540543</v>
      </c>
      <c r="I377" s="274"/>
    </row>
    <row r="378" spans="1:9" ht="17.25" customHeight="1">
      <c r="A378" s="289"/>
      <c r="B378" s="289"/>
      <c r="C378" s="289"/>
      <c r="D378" s="21" t="s">
        <v>808</v>
      </c>
      <c r="E378" s="284">
        <f>SUM('ZS Mich'!E92)</f>
        <v>2000</v>
      </c>
      <c r="F378" s="284">
        <f>SUM('ZS Mich'!F92)</f>
        <v>50</v>
      </c>
      <c r="G378" s="285">
        <f t="shared" si="8"/>
        <v>2.5000000000000001E-2</v>
      </c>
    </row>
    <row r="379" spans="1:9" ht="21" customHeight="1">
      <c r="A379" s="289"/>
      <c r="B379" s="289"/>
      <c r="C379" s="289"/>
      <c r="D379" s="21" t="s">
        <v>807</v>
      </c>
      <c r="E379" s="284">
        <f>SUM('ZSP NW'!E131)</f>
        <v>1000</v>
      </c>
      <c r="F379" s="284">
        <f>SUM('ZSP NW'!F131)</f>
        <v>0</v>
      </c>
      <c r="G379" s="285">
        <f t="shared" si="8"/>
        <v>0</v>
      </c>
    </row>
    <row r="380" spans="1:9" hidden="1">
      <c r="A380" s="289"/>
      <c r="B380" s="289"/>
      <c r="C380" s="287">
        <v>4420</v>
      </c>
      <c r="D380" s="279" t="s">
        <v>360</v>
      </c>
      <c r="E380" s="284">
        <f>E381</f>
        <v>0</v>
      </c>
      <c r="F380" s="284">
        <f>F381</f>
        <v>0</v>
      </c>
      <c r="G380" s="285" t="e">
        <f t="shared" si="8"/>
        <v>#DIV/0!</v>
      </c>
    </row>
    <row r="381" spans="1:9" hidden="1">
      <c r="A381" s="289"/>
      <c r="B381" s="289"/>
      <c r="C381" s="289"/>
      <c r="D381" s="283" t="s">
        <v>148</v>
      </c>
      <c r="E381" s="284">
        <f>'ZS Mich'!E93</f>
        <v>0</v>
      </c>
      <c r="F381" s="284">
        <f>'ZS Mich'!F93</f>
        <v>0</v>
      </c>
      <c r="G381" s="285" t="e">
        <f t="shared" si="8"/>
        <v>#DIV/0!</v>
      </c>
    </row>
    <row r="382" spans="1:9">
      <c r="A382" s="289" t="s">
        <v>345</v>
      </c>
      <c r="B382" s="289" t="s">
        <v>346</v>
      </c>
      <c r="C382" s="287">
        <v>4430</v>
      </c>
      <c r="D382" s="279" t="s">
        <v>413</v>
      </c>
      <c r="E382" s="280">
        <f>SUM(E383:E385)</f>
        <v>2930</v>
      </c>
      <c r="F382" s="280">
        <f>SUM(F383:F385)</f>
        <v>0</v>
      </c>
      <c r="G382" s="281">
        <f t="shared" si="8"/>
        <v>0</v>
      </c>
      <c r="I382" s="298"/>
    </row>
    <row r="383" spans="1:9">
      <c r="A383" s="289"/>
      <c r="B383" s="289"/>
      <c r="C383" s="289"/>
      <c r="D383" s="283" t="s">
        <v>77</v>
      </c>
      <c r="E383" s="284">
        <f>SUM('ZSO Kom'!E86)</f>
        <v>1640</v>
      </c>
      <c r="F383" s="284">
        <f>SUM('ZSO Kom'!F86)</f>
        <v>0</v>
      </c>
      <c r="G383" s="285">
        <f t="shared" si="8"/>
        <v>0</v>
      </c>
    </row>
    <row r="384" spans="1:9">
      <c r="A384" s="289"/>
      <c r="B384" s="289"/>
      <c r="C384" s="289"/>
      <c r="D384" s="283" t="s">
        <v>405</v>
      </c>
      <c r="E384" s="284">
        <f>SUM('ZS Mich'!E96)</f>
        <v>540</v>
      </c>
      <c r="F384" s="284">
        <f>SUM('ZS Mich'!F96)</f>
        <v>0</v>
      </c>
      <c r="G384" s="285">
        <f t="shared" si="8"/>
        <v>0</v>
      </c>
    </row>
    <row r="385" spans="1:10">
      <c r="A385" s="289"/>
      <c r="B385" s="289"/>
      <c r="C385" s="289"/>
      <c r="D385" s="283" t="s">
        <v>41</v>
      </c>
      <c r="E385" s="284">
        <f>SUM('ZSP NW'!E132)</f>
        <v>750</v>
      </c>
      <c r="F385" s="284">
        <f>SUM('ZSP NW'!F132)</f>
        <v>0</v>
      </c>
      <c r="G385" s="285">
        <f t="shared" si="8"/>
        <v>0</v>
      </c>
    </row>
    <row r="386" spans="1:10">
      <c r="A386" s="289"/>
      <c r="B386" s="289"/>
      <c r="C386" s="287">
        <v>4440</v>
      </c>
      <c r="D386" s="279" t="s">
        <v>317</v>
      </c>
      <c r="E386" s="280">
        <f>SUM(E387:E389)</f>
        <v>148161</v>
      </c>
      <c r="F386" s="280">
        <f>SUM(F387:F389)</f>
        <v>93577</v>
      </c>
      <c r="G386" s="281">
        <f t="shared" si="8"/>
        <v>0.63158995957100716</v>
      </c>
      <c r="I386" s="274"/>
    </row>
    <row r="387" spans="1:10" ht="30.6" customHeight="1">
      <c r="A387" s="289"/>
      <c r="B387" s="289"/>
      <c r="C387" s="289"/>
      <c r="D387" s="283" t="s">
        <v>140</v>
      </c>
      <c r="E387" s="284">
        <f>SUM('ZSO Kom'!E87)</f>
        <v>51862</v>
      </c>
      <c r="F387" s="284">
        <f>SUM('ZSO Kom'!F87)</f>
        <v>37335</v>
      </c>
      <c r="G387" s="285">
        <f t="shared" si="8"/>
        <v>0.71989124985538544</v>
      </c>
    </row>
    <row r="388" spans="1:10" ht="30" customHeight="1">
      <c r="A388" s="289"/>
      <c r="B388" s="289"/>
      <c r="C388" s="289"/>
      <c r="D388" s="283" t="s">
        <v>132</v>
      </c>
      <c r="E388" s="284">
        <f>SUM('ZS Mich'!E97)</f>
        <v>59162</v>
      </c>
      <c r="F388" s="284">
        <f>SUM('ZS Mich'!F97)</f>
        <v>32117</v>
      </c>
      <c r="G388" s="285">
        <f t="shared" si="8"/>
        <v>0.54286535276021775</v>
      </c>
    </row>
    <row r="389" spans="1:10" ht="31.15" customHeight="1">
      <c r="A389" s="289"/>
      <c r="B389" s="289"/>
      <c r="C389" s="289"/>
      <c r="D389" s="283" t="s">
        <v>204</v>
      </c>
      <c r="E389" s="284">
        <f>SUM('ZSP NW'!E134)</f>
        <v>37137</v>
      </c>
      <c r="F389" s="284">
        <f>SUM('ZSP NW'!F134)</f>
        <v>24125</v>
      </c>
      <c r="G389" s="285">
        <f t="shared" si="8"/>
        <v>0.64962167110967495</v>
      </c>
    </row>
    <row r="390" spans="1:10" ht="18" customHeight="1">
      <c r="A390" s="289"/>
      <c r="B390" s="289"/>
      <c r="C390" s="287">
        <v>4700</v>
      </c>
      <c r="D390" s="279" t="s">
        <v>87</v>
      </c>
      <c r="E390" s="280">
        <f>SUM(E391:E393)</f>
        <v>50</v>
      </c>
      <c r="F390" s="280">
        <f>SUM(F391:F393)</f>
        <v>250</v>
      </c>
      <c r="G390" s="281">
        <f t="shared" si="8"/>
        <v>5</v>
      </c>
      <c r="I390" s="274"/>
    </row>
    <row r="391" spans="1:10" ht="21" customHeight="1">
      <c r="A391" s="289"/>
      <c r="B391" s="289"/>
      <c r="C391" s="289"/>
      <c r="D391" s="283" t="s">
        <v>379</v>
      </c>
      <c r="E391" s="284">
        <f>SUM('ZSO Kom'!E89)</f>
        <v>50</v>
      </c>
      <c r="F391" s="284">
        <f>SUM('ZSO Kom'!F89)</f>
        <v>250</v>
      </c>
      <c r="G391" s="285">
        <f t="shared" si="8"/>
        <v>5</v>
      </c>
    </row>
    <row r="392" spans="1:10" hidden="1">
      <c r="A392" s="289"/>
      <c r="B392" s="289"/>
      <c r="C392" s="289"/>
      <c r="D392" s="283" t="s">
        <v>275</v>
      </c>
      <c r="E392" s="284">
        <f>SUM('ZS Mich'!E99)</f>
        <v>0</v>
      </c>
      <c r="F392" s="284">
        <f>SUM('ZS Mich'!F99)</f>
        <v>0</v>
      </c>
      <c r="G392" s="285" t="e">
        <f t="shared" si="8"/>
        <v>#DIV/0!</v>
      </c>
    </row>
    <row r="393" spans="1:10" hidden="1">
      <c r="A393" s="289"/>
      <c r="B393" s="289"/>
      <c r="C393" s="289"/>
      <c r="D393" s="283" t="s">
        <v>55</v>
      </c>
      <c r="E393" s="284">
        <f>SUM('ZSP NW'!E136)</f>
        <v>0</v>
      </c>
      <c r="F393" s="284">
        <f>SUM('ZSP NW'!F136)</f>
        <v>0</v>
      </c>
      <c r="G393" s="285" t="e">
        <f t="shared" si="8"/>
        <v>#DIV/0!</v>
      </c>
    </row>
    <row r="394" spans="1:10">
      <c r="A394" s="659" t="s">
        <v>375</v>
      </c>
      <c r="B394" s="660"/>
      <c r="C394" s="660"/>
      <c r="D394" s="661"/>
      <c r="E394" s="291">
        <f>SUM(E316+E320+E327+E331+E335+E339+E343+E347+E351+E355+E359+E365+E369+E373+E376+E380+E382+E386+E390)</f>
        <v>4277108</v>
      </c>
      <c r="F394" s="291">
        <f>SUM(F316+F320+F327+F331+F335+F339+F343+F347+F351+F355+F359+F365+F369+F373+F376+F380+F382+F386+F390)</f>
        <v>2224657</v>
      </c>
      <c r="G394" s="292">
        <f t="shared" si="8"/>
        <v>0.52013112598512823</v>
      </c>
      <c r="H394" s="274">
        <f>'ZS Mich'!F100+'ZSP NW'!F137+'ZSO Kom'!F90</f>
        <v>2224657</v>
      </c>
      <c r="I394" s="304"/>
      <c r="J394" s="304"/>
    </row>
    <row r="395" spans="1:10">
      <c r="A395" s="287">
        <v>801</v>
      </c>
      <c r="B395" s="287">
        <v>80113</v>
      </c>
      <c r="C395" s="287">
        <v>4300</v>
      </c>
      <c r="D395" s="279" t="s">
        <v>100</v>
      </c>
      <c r="E395" s="280">
        <f>SUM(E396:E397)</f>
        <v>427000</v>
      </c>
      <c r="F395" s="280">
        <f>SUM(F396:F397)</f>
        <v>442000</v>
      </c>
      <c r="G395" s="281">
        <f t="shared" si="8"/>
        <v>1.0351288056206089</v>
      </c>
      <c r="I395" s="298"/>
    </row>
    <row r="396" spans="1:10">
      <c r="A396" s="289"/>
      <c r="B396" s="289"/>
      <c r="C396" s="289"/>
      <c r="D396" s="283" t="s">
        <v>175</v>
      </c>
      <c r="E396" s="284">
        <f>CUW!E111</f>
        <v>240000</v>
      </c>
      <c r="F396" s="284">
        <f>CUW!F111</f>
        <v>230000</v>
      </c>
      <c r="G396" s="285">
        <f>SUM(F396/E396)</f>
        <v>0.95833333333333337</v>
      </c>
    </row>
    <row r="397" spans="1:10">
      <c r="A397" s="289"/>
      <c r="B397" s="289"/>
      <c r="C397" s="289"/>
      <c r="D397" s="290" t="s">
        <v>176</v>
      </c>
      <c r="E397" s="284">
        <f>CUW!E112</f>
        <v>187000</v>
      </c>
      <c r="F397" s="284">
        <f>CUW!F112</f>
        <v>212000</v>
      </c>
      <c r="G397" s="285">
        <f>SUM(F397/E397)</f>
        <v>1.1336898395721926</v>
      </c>
    </row>
    <row r="398" spans="1:10" s="322" customFormat="1">
      <c r="A398" s="659" t="s">
        <v>174</v>
      </c>
      <c r="B398" s="662"/>
      <c r="C398" s="662"/>
      <c r="D398" s="663"/>
      <c r="E398" s="291">
        <f>SUM(E395)</f>
        <v>427000</v>
      </c>
      <c r="F398" s="291">
        <f>SUM(F395)</f>
        <v>442000</v>
      </c>
      <c r="G398" s="292">
        <f t="shared" si="8"/>
        <v>1.0351288056206089</v>
      </c>
      <c r="H398" s="274">
        <f>CUW!F113</f>
        <v>442000</v>
      </c>
    </row>
    <row r="399" spans="1:10">
      <c r="A399" s="308">
        <v>801</v>
      </c>
      <c r="B399" s="308">
        <v>80120</v>
      </c>
      <c r="C399" s="287">
        <v>3020</v>
      </c>
      <c r="D399" s="279" t="s">
        <v>359</v>
      </c>
      <c r="E399" s="280">
        <f>SUM(E400:E401)</f>
        <v>77910</v>
      </c>
      <c r="F399" s="280">
        <f>SUM(F400:F401)</f>
        <v>66350</v>
      </c>
      <c r="G399" s="281">
        <f t="shared" ref="G399:G428" si="9">SUM(F399/E399)</f>
        <v>0.8516236683352586</v>
      </c>
    </row>
    <row r="400" spans="1:10" ht="19.899999999999999" customHeight="1">
      <c r="A400" s="289"/>
      <c r="B400" s="289"/>
      <c r="C400" s="289"/>
      <c r="D400" s="21" t="s">
        <v>777</v>
      </c>
      <c r="E400" s="284">
        <f>'ZSO Kom'!E92</f>
        <v>76910</v>
      </c>
      <c r="F400" s="284">
        <f>'ZSO Kom'!F92</f>
        <v>65350</v>
      </c>
      <c r="G400" s="285">
        <f t="shared" si="9"/>
        <v>0.84969444805616956</v>
      </c>
    </row>
    <row r="401" spans="1:9" ht="16.899999999999999" customHeight="1">
      <c r="A401" s="289"/>
      <c r="B401" s="289"/>
      <c r="C401" s="289"/>
      <c r="D401" s="283" t="str">
        <f>'ZSO Kom'!D93</f>
        <v>odzież ochronna</v>
      </c>
      <c r="E401" s="284">
        <f>'ZSO Kom'!E93</f>
        <v>1000</v>
      </c>
      <c r="F401" s="284">
        <f>'ZSO Kom'!F93</f>
        <v>1000</v>
      </c>
      <c r="G401" s="285">
        <f t="shared" si="9"/>
        <v>1</v>
      </c>
    </row>
    <row r="402" spans="1:9" ht="16.149999999999999" customHeight="1">
      <c r="A402" s="289" t="s">
        <v>345</v>
      </c>
      <c r="B402" s="289" t="s">
        <v>346</v>
      </c>
      <c r="C402" s="287">
        <v>4010</v>
      </c>
      <c r="D402" s="279" t="s">
        <v>348</v>
      </c>
      <c r="E402" s="280">
        <f>SUM(E403:E404)</f>
        <v>1147222</v>
      </c>
      <c r="F402" s="280">
        <f>SUM(F403:F404)</f>
        <v>1445000</v>
      </c>
      <c r="G402" s="281">
        <f t="shared" si="9"/>
        <v>1.259564408632331</v>
      </c>
    </row>
    <row r="403" spans="1:9" ht="29.45" customHeight="1">
      <c r="A403" s="289"/>
      <c r="B403" s="289"/>
      <c r="C403" s="289"/>
      <c r="D403" s="21" t="s">
        <v>774</v>
      </c>
      <c r="E403" s="284">
        <f>SUM('ZSO Kom'!E95)</f>
        <v>1126022</v>
      </c>
      <c r="F403" s="284">
        <f>'ZSO Kom'!F95</f>
        <v>1416000</v>
      </c>
      <c r="G403" s="285">
        <f t="shared" si="9"/>
        <v>1.2575242757246305</v>
      </c>
    </row>
    <row r="404" spans="1:9">
      <c r="A404" s="289"/>
      <c r="B404" s="289"/>
      <c r="C404" s="289"/>
      <c r="D404" s="21" t="s">
        <v>753</v>
      </c>
      <c r="E404" s="284">
        <f>SUM('ZSO Kom'!E96)</f>
        <v>21200</v>
      </c>
      <c r="F404" s="284">
        <f>'ZSO Kom'!F96</f>
        <v>29000</v>
      </c>
      <c r="G404" s="285">
        <f t="shared" si="9"/>
        <v>1.3679245283018868</v>
      </c>
    </row>
    <row r="405" spans="1:9">
      <c r="A405" s="289" t="s">
        <v>345</v>
      </c>
      <c r="B405" s="289" t="s">
        <v>346</v>
      </c>
      <c r="C405" s="287">
        <v>4040</v>
      </c>
      <c r="D405" s="279" t="s">
        <v>349</v>
      </c>
      <c r="E405" s="280">
        <f>SUM(E406)</f>
        <v>93000</v>
      </c>
      <c r="F405" s="280">
        <f>SUM(F406)</f>
        <v>96000</v>
      </c>
      <c r="G405" s="281">
        <f t="shared" si="9"/>
        <v>1.032258064516129</v>
      </c>
    </row>
    <row r="406" spans="1:9" ht="30">
      <c r="A406" s="289"/>
      <c r="B406" s="289"/>
      <c r="C406" s="289"/>
      <c r="D406" s="283" t="s">
        <v>209</v>
      </c>
      <c r="E406" s="284">
        <f>SUM('ZSO Kom'!E97)</f>
        <v>93000</v>
      </c>
      <c r="F406" s="284">
        <f>SUM('ZSO Kom'!F97)</f>
        <v>96000</v>
      </c>
      <c r="G406" s="285">
        <f t="shared" si="9"/>
        <v>1.032258064516129</v>
      </c>
    </row>
    <row r="407" spans="1:9">
      <c r="A407" s="289" t="s">
        <v>345</v>
      </c>
      <c r="B407" s="289" t="s">
        <v>346</v>
      </c>
      <c r="C407" s="287">
        <v>4110</v>
      </c>
      <c r="D407" s="279" t="s">
        <v>446</v>
      </c>
      <c r="E407" s="280">
        <f>SUM(E408)</f>
        <v>233852</v>
      </c>
      <c r="F407" s="280">
        <f>SUM(F408)</f>
        <v>276200</v>
      </c>
      <c r="G407" s="281">
        <f t="shared" si="9"/>
        <v>1.1810888938302859</v>
      </c>
    </row>
    <row r="408" spans="1:9">
      <c r="A408" s="289"/>
      <c r="B408" s="289"/>
      <c r="C408" s="289"/>
      <c r="D408" s="283" t="s">
        <v>45</v>
      </c>
      <c r="E408" s="284">
        <f>SUM('ZSO Kom'!E98)</f>
        <v>233852</v>
      </c>
      <c r="F408" s="284">
        <f>SUM('ZSO Kom'!F98)</f>
        <v>276200</v>
      </c>
      <c r="G408" s="285">
        <f t="shared" si="9"/>
        <v>1.1810888938302859</v>
      </c>
    </row>
    <row r="409" spans="1:9">
      <c r="A409" s="289" t="s">
        <v>345</v>
      </c>
      <c r="B409" s="289" t="s">
        <v>346</v>
      </c>
      <c r="C409" s="287">
        <v>4120</v>
      </c>
      <c r="D409" s="279" t="s">
        <v>301</v>
      </c>
      <c r="E409" s="280">
        <f>SUM(E410)</f>
        <v>29369</v>
      </c>
      <c r="F409" s="280">
        <f>SUM(F410)</f>
        <v>37450</v>
      </c>
      <c r="G409" s="281">
        <f t="shared" si="9"/>
        <v>1.2751540740236305</v>
      </c>
    </row>
    <row r="410" spans="1:9">
      <c r="A410" s="289"/>
      <c r="B410" s="289"/>
      <c r="C410" s="289"/>
      <c r="D410" s="283" t="s">
        <v>46</v>
      </c>
      <c r="E410" s="284">
        <f>SUM('ZSO Kom'!E99)</f>
        <v>29369</v>
      </c>
      <c r="F410" s="284">
        <f>SUM('ZSO Kom'!F99)</f>
        <v>37450</v>
      </c>
      <c r="G410" s="285">
        <f t="shared" si="9"/>
        <v>1.2751540740236305</v>
      </c>
    </row>
    <row r="411" spans="1:9" hidden="1">
      <c r="A411" s="289"/>
      <c r="B411" s="289"/>
      <c r="C411" s="287">
        <v>4170</v>
      </c>
      <c r="D411" s="279" t="s">
        <v>235</v>
      </c>
      <c r="E411" s="280">
        <f>SUM(E412)</f>
        <v>0</v>
      </c>
      <c r="F411" s="280">
        <f>SUM(F412)</f>
        <v>0</v>
      </c>
      <c r="G411" s="281" t="e">
        <f t="shared" si="9"/>
        <v>#DIV/0!</v>
      </c>
    </row>
    <row r="412" spans="1:9" ht="32.25" hidden="1" customHeight="1">
      <c r="A412" s="289"/>
      <c r="B412" s="289"/>
      <c r="C412" s="289"/>
      <c r="D412" s="283" t="s">
        <v>440</v>
      </c>
      <c r="E412" s="284">
        <f>SUM('ZSO Kom'!E101)</f>
        <v>0</v>
      </c>
      <c r="F412" s="284">
        <f>SUM('ZSO Kom'!F101)</f>
        <v>0</v>
      </c>
      <c r="G412" s="285" t="e">
        <f t="shared" si="9"/>
        <v>#DIV/0!</v>
      </c>
    </row>
    <row r="413" spans="1:9" ht="16.5" customHeight="1">
      <c r="A413" s="289"/>
      <c r="B413" s="289"/>
      <c r="C413" s="287">
        <v>4190</v>
      </c>
      <c r="D413" s="293" t="s">
        <v>452</v>
      </c>
      <c r="E413" s="284">
        <f>E414</f>
        <v>800</v>
      </c>
      <c r="F413" s="284">
        <f>F414</f>
        <v>800</v>
      </c>
      <c r="G413" s="285">
        <f t="shared" si="9"/>
        <v>1</v>
      </c>
    </row>
    <row r="414" spans="1:9" ht="16.5" customHeight="1">
      <c r="A414" s="289"/>
      <c r="B414" s="289"/>
      <c r="C414" s="289"/>
      <c r="D414" s="283" t="s">
        <v>456</v>
      </c>
      <c r="E414" s="284">
        <f>'ZSO Kom'!E102</f>
        <v>800</v>
      </c>
      <c r="F414" s="284">
        <f>'ZSO Kom'!F102</f>
        <v>800</v>
      </c>
      <c r="G414" s="285">
        <f t="shared" si="9"/>
        <v>1</v>
      </c>
    </row>
    <row r="415" spans="1:9">
      <c r="A415" s="289" t="s">
        <v>345</v>
      </c>
      <c r="B415" s="289" t="s">
        <v>346</v>
      </c>
      <c r="C415" s="287">
        <v>4210</v>
      </c>
      <c r="D415" s="279" t="s">
        <v>274</v>
      </c>
      <c r="E415" s="280">
        <f>SUM(E416)</f>
        <v>20150</v>
      </c>
      <c r="F415" s="280">
        <f>SUM(F416)</f>
        <v>25000</v>
      </c>
      <c r="G415" s="281">
        <f t="shared" si="9"/>
        <v>1.2406947890818858</v>
      </c>
      <c r="I415" s="298"/>
    </row>
    <row r="416" spans="1:9" ht="49.5" customHeight="1">
      <c r="A416" s="289"/>
      <c r="B416" s="289"/>
      <c r="C416" s="289"/>
      <c r="D416" s="21" t="s">
        <v>754</v>
      </c>
      <c r="E416" s="284">
        <f>SUM('ZSO Kom'!E105)</f>
        <v>20150</v>
      </c>
      <c r="F416" s="284">
        <f>SUM('ZSO Kom'!F105)</f>
        <v>25000</v>
      </c>
      <c r="G416" s="285">
        <f t="shared" si="9"/>
        <v>1.2406947890818858</v>
      </c>
    </row>
    <row r="417" spans="1:9" ht="18" customHeight="1">
      <c r="A417" s="289"/>
      <c r="B417" s="289"/>
      <c r="C417" s="287">
        <v>4220</v>
      </c>
      <c r="D417" s="279" t="s">
        <v>492</v>
      </c>
      <c r="E417" s="284">
        <f>E418</f>
        <v>300</v>
      </c>
      <c r="F417" s="284">
        <f>F418</f>
        <v>300</v>
      </c>
      <c r="G417" s="285">
        <f t="shared" si="9"/>
        <v>1</v>
      </c>
    </row>
    <row r="418" spans="1:9" ht="17.25" customHeight="1">
      <c r="A418" s="289"/>
      <c r="B418" s="289"/>
      <c r="C418" s="289"/>
      <c r="D418" s="283" t="s">
        <v>493</v>
      </c>
      <c r="E418" s="284">
        <f>'ZSO Kom'!E106</f>
        <v>300</v>
      </c>
      <c r="F418" s="284">
        <f>'ZSO Kom'!F106</f>
        <v>300</v>
      </c>
      <c r="G418" s="285">
        <f t="shared" si="9"/>
        <v>1</v>
      </c>
    </row>
    <row r="419" spans="1:9">
      <c r="A419" s="289" t="s">
        <v>345</v>
      </c>
      <c r="B419" s="289" t="s">
        <v>346</v>
      </c>
      <c r="C419" s="287">
        <v>4240</v>
      </c>
      <c r="D419" s="279" t="s">
        <v>179</v>
      </c>
      <c r="E419" s="280">
        <f>SUM(E420)</f>
        <v>17000</v>
      </c>
      <c r="F419" s="280">
        <f>SUM(F420)</f>
        <v>16500</v>
      </c>
      <c r="G419" s="281">
        <f t="shared" si="9"/>
        <v>0.97058823529411764</v>
      </c>
      <c r="I419" s="298"/>
    </row>
    <row r="420" spans="1:9" ht="19.899999999999999" customHeight="1">
      <c r="A420" s="289"/>
      <c r="B420" s="289"/>
      <c r="C420" s="289"/>
      <c r="D420" s="21" t="s">
        <v>775</v>
      </c>
      <c r="E420" s="284">
        <f>SUM('ZSO Kom'!E108)</f>
        <v>17000</v>
      </c>
      <c r="F420" s="284">
        <f>SUM('ZSO Kom'!F108)</f>
        <v>16500</v>
      </c>
      <c r="G420" s="285">
        <f t="shared" si="9"/>
        <v>0.97058823529411764</v>
      </c>
    </row>
    <row r="421" spans="1:9">
      <c r="A421" s="289" t="s">
        <v>345</v>
      </c>
      <c r="B421" s="289" t="s">
        <v>346</v>
      </c>
      <c r="C421" s="287">
        <v>4270</v>
      </c>
      <c r="D421" s="279" t="s">
        <v>238</v>
      </c>
      <c r="E421" s="280">
        <f>SUM(E422+E423)</f>
        <v>1000</v>
      </c>
      <c r="F421" s="280">
        <f>SUM(F422+F423)</f>
        <v>1100</v>
      </c>
      <c r="G421" s="281">
        <f t="shared" si="9"/>
        <v>1.1000000000000001</v>
      </c>
      <c r="I421" s="298"/>
    </row>
    <row r="422" spans="1:9">
      <c r="A422" s="289"/>
      <c r="B422" s="289"/>
      <c r="C422" s="289"/>
      <c r="D422" s="283" t="s">
        <v>464</v>
      </c>
      <c r="E422" s="284">
        <f>SUM('ZSO Kom'!E110)</f>
        <v>1000</v>
      </c>
      <c r="F422" s="284">
        <f>SUM('ZSO Kom'!F110)</f>
        <v>1100</v>
      </c>
      <c r="G422" s="281">
        <f t="shared" si="9"/>
        <v>1.1000000000000001</v>
      </c>
    </row>
    <row r="423" spans="1:9" ht="30.75" hidden="1" customHeight="1">
      <c r="A423" s="289"/>
      <c r="B423" s="289"/>
      <c r="C423" s="289"/>
      <c r="D423" s="296" t="s">
        <v>547</v>
      </c>
      <c r="E423" s="284">
        <f>SUM('ZSO Kom'!E111)</f>
        <v>0</v>
      </c>
      <c r="F423" s="284">
        <f>SUM('ZSO Kom'!F111)</f>
        <v>0</v>
      </c>
      <c r="G423" s="281" t="e">
        <f t="shared" si="9"/>
        <v>#DIV/0!</v>
      </c>
    </row>
    <row r="424" spans="1:9" ht="17.25" customHeight="1">
      <c r="A424" s="289"/>
      <c r="B424" s="289"/>
      <c r="C424" s="287">
        <v>4280</v>
      </c>
      <c r="D424" s="279" t="s">
        <v>411</v>
      </c>
      <c r="E424" s="280">
        <f>SUM(E425)</f>
        <v>1100</v>
      </c>
      <c r="F424" s="280">
        <f>SUM(F425)</f>
        <v>900</v>
      </c>
      <c r="G424" s="281">
        <f t="shared" si="9"/>
        <v>0.81818181818181823</v>
      </c>
    </row>
    <row r="425" spans="1:9" ht="30">
      <c r="A425" s="289"/>
      <c r="B425" s="289"/>
      <c r="C425" s="289"/>
      <c r="D425" s="283" t="s">
        <v>410</v>
      </c>
      <c r="E425" s="284">
        <f>SUM('ZSO Kom'!E112)</f>
        <v>1100</v>
      </c>
      <c r="F425" s="284">
        <f>SUM('ZSO Kom'!F112)</f>
        <v>900</v>
      </c>
      <c r="G425" s="281">
        <f t="shared" si="9"/>
        <v>0.81818181818181823</v>
      </c>
    </row>
    <row r="426" spans="1:9">
      <c r="A426" s="289" t="s">
        <v>345</v>
      </c>
      <c r="B426" s="289" t="s">
        <v>346</v>
      </c>
      <c r="C426" s="287">
        <v>4300</v>
      </c>
      <c r="D426" s="279" t="s">
        <v>100</v>
      </c>
      <c r="E426" s="280">
        <f>SUM(E427)</f>
        <v>15900</v>
      </c>
      <c r="F426" s="280">
        <f>SUM(F427)</f>
        <v>16600</v>
      </c>
      <c r="G426" s="281">
        <f t="shared" si="9"/>
        <v>1.0440251572327044</v>
      </c>
      <c r="I426" s="274"/>
    </row>
    <row r="427" spans="1:9" ht="45" customHeight="1">
      <c r="A427" s="289"/>
      <c r="B427" s="289"/>
      <c r="C427" s="289"/>
      <c r="D427" s="89" t="s">
        <v>776</v>
      </c>
      <c r="E427" s="284">
        <f>SUM('ZSO Kom'!E114)</f>
        <v>15900</v>
      </c>
      <c r="F427" s="284">
        <f>'ZSO Kom'!F114</f>
        <v>16600</v>
      </c>
      <c r="G427" s="285">
        <f t="shared" si="9"/>
        <v>1.0440251572327044</v>
      </c>
    </row>
    <row r="428" spans="1:9">
      <c r="A428" s="289"/>
      <c r="B428" s="289"/>
      <c r="C428" s="287">
        <v>4410</v>
      </c>
      <c r="D428" s="279" t="s">
        <v>203</v>
      </c>
      <c r="E428" s="280">
        <f>SUM(E429)</f>
        <v>1700</v>
      </c>
      <c r="F428" s="280">
        <f>SUM(F429)</f>
        <v>1900</v>
      </c>
      <c r="G428" s="281">
        <f t="shared" si="9"/>
        <v>1.1176470588235294</v>
      </c>
    </row>
    <row r="429" spans="1:9" ht="29.25" customHeight="1">
      <c r="A429" s="289"/>
      <c r="B429" s="289"/>
      <c r="C429" s="289"/>
      <c r="D429" s="283" t="s">
        <v>407</v>
      </c>
      <c r="E429" s="284">
        <f>SUM('ZSO Kom'!E116)</f>
        <v>1700</v>
      </c>
      <c r="F429" s="284">
        <f>SUM('ZSO Kom'!F116)</f>
        <v>1900</v>
      </c>
      <c r="G429" s="285">
        <f t="shared" ref="G429:G466" si="10">SUM(F429/E429)</f>
        <v>1.1176470588235294</v>
      </c>
    </row>
    <row r="430" spans="1:9" hidden="1">
      <c r="A430" s="289" t="s">
        <v>345</v>
      </c>
      <c r="B430" s="289" t="s">
        <v>346</v>
      </c>
      <c r="C430" s="287">
        <v>4420</v>
      </c>
      <c r="D430" s="279" t="s">
        <v>360</v>
      </c>
      <c r="E430" s="280">
        <f>SUM(E431)</f>
        <v>0</v>
      </c>
      <c r="F430" s="280">
        <f>SUM(F431)</f>
        <v>0</v>
      </c>
      <c r="G430" s="281" t="e">
        <f t="shared" si="10"/>
        <v>#DIV/0!</v>
      </c>
    </row>
    <row r="431" spans="1:9" hidden="1">
      <c r="A431" s="289"/>
      <c r="B431" s="289"/>
      <c r="C431" s="289"/>
      <c r="D431" s="283" t="s">
        <v>361</v>
      </c>
      <c r="E431" s="284">
        <f>SUM('ZSO Kom'!E117)</f>
        <v>0</v>
      </c>
      <c r="F431" s="284">
        <f>SUM('ZSO Kom'!F117)</f>
        <v>0</v>
      </c>
      <c r="G431" s="285" t="e">
        <f t="shared" si="10"/>
        <v>#DIV/0!</v>
      </c>
    </row>
    <row r="432" spans="1:9">
      <c r="A432" s="289" t="s">
        <v>345</v>
      </c>
      <c r="B432" s="289" t="s">
        <v>346</v>
      </c>
      <c r="C432" s="287">
        <v>4430</v>
      </c>
      <c r="D432" s="279" t="s">
        <v>413</v>
      </c>
      <c r="E432" s="280">
        <f>SUM(E433)</f>
        <v>1500</v>
      </c>
      <c r="F432" s="280">
        <f>SUM(F433)</f>
        <v>2000</v>
      </c>
      <c r="G432" s="281">
        <f t="shared" si="10"/>
        <v>1.3333333333333333</v>
      </c>
    </row>
    <row r="433" spans="1:9">
      <c r="A433" s="289"/>
      <c r="B433" s="289"/>
      <c r="C433" s="289"/>
      <c r="D433" s="283" t="s">
        <v>378</v>
      </c>
      <c r="E433" s="284">
        <f>SUM('ZSO Kom'!E119)</f>
        <v>1500</v>
      </c>
      <c r="F433" s="284">
        <f>SUM('ZSO Kom'!F119)</f>
        <v>2000</v>
      </c>
      <c r="G433" s="285">
        <f t="shared" si="10"/>
        <v>1.3333333333333333</v>
      </c>
    </row>
    <row r="434" spans="1:9">
      <c r="A434" s="289" t="s">
        <v>345</v>
      </c>
      <c r="B434" s="289" t="s">
        <v>346</v>
      </c>
      <c r="C434" s="287">
        <v>4440</v>
      </c>
      <c r="D434" s="279" t="s">
        <v>317</v>
      </c>
      <c r="E434" s="280">
        <f>SUM(E435)</f>
        <v>55668</v>
      </c>
      <c r="F434" s="280">
        <f>SUM(F435)</f>
        <v>58966</v>
      </c>
      <c r="G434" s="281">
        <f t="shared" si="10"/>
        <v>1.0592440899619171</v>
      </c>
    </row>
    <row r="435" spans="1:9" ht="30">
      <c r="A435" s="289"/>
      <c r="B435" s="289"/>
      <c r="C435" s="289"/>
      <c r="D435" s="283" t="s">
        <v>409</v>
      </c>
      <c r="E435" s="284">
        <f>SUM('ZSO Kom'!E120)</f>
        <v>55668</v>
      </c>
      <c r="F435" s="284">
        <f>SUM('ZSO Kom'!F120)</f>
        <v>58966</v>
      </c>
      <c r="G435" s="285">
        <f t="shared" si="10"/>
        <v>1.0592440899619171</v>
      </c>
    </row>
    <row r="436" spans="1:9" ht="17.25" customHeight="1">
      <c r="A436" s="289"/>
      <c r="B436" s="289"/>
      <c r="C436" s="287">
        <v>4700</v>
      </c>
      <c r="D436" s="279" t="s">
        <v>243</v>
      </c>
      <c r="E436" s="280">
        <f>SUM(E437)</f>
        <v>250</v>
      </c>
      <c r="F436" s="280">
        <f>SUM(F437)</f>
        <v>350</v>
      </c>
      <c r="G436" s="281">
        <f t="shared" si="10"/>
        <v>1.4</v>
      </c>
    </row>
    <row r="437" spans="1:9">
      <c r="A437" s="289"/>
      <c r="B437" s="289"/>
      <c r="C437" s="289"/>
      <c r="D437" s="283" t="s">
        <v>286</v>
      </c>
      <c r="E437" s="284">
        <f>SUM('ZSO Kom'!E122)</f>
        <v>250</v>
      </c>
      <c r="F437" s="284">
        <f>SUM('ZSO Kom'!F122)</f>
        <v>350</v>
      </c>
      <c r="G437" s="285">
        <f t="shared" si="10"/>
        <v>1.4</v>
      </c>
    </row>
    <row r="438" spans="1:9">
      <c r="A438" s="659" t="s">
        <v>234</v>
      </c>
      <c r="B438" s="662"/>
      <c r="C438" s="662"/>
      <c r="D438" s="663"/>
      <c r="E438" s="291">
        <f>SUM(E399+E402+E405+E407+E409+E411+E413+E415+E417+E419+E421+E424+E426+E428+E430+E432+E434+E436)</f>
        <v>1696721</v>
      </c>
      <c r="F438" s="291">
        <f>SUM(F399+F402+F405+F407+F409+F411+F413+F415+F417+F419+F421+F424+F426+F428+F430+F432+F434+F436)</f>
        <v>2045416</v>
      </c>
      <c r="G438" s="292">
        <f t="shared" si="10"/>
        <v>1.2055111005286079</v>
      </c>
      <c r="H438" s="274">
        <f>'ZSO Kom'!F123</f>
        <v>2045416</v>
      </c>
      <c r="I438" s="304"/>
    </row>
    <row r="439" spans="1:9">
      <c r="A439" s="287">
        <v>801</v>
      </c>
      <c r="B439" s="287">
        <v>80146</v>
      </c>
      <c r="C439" s="287">
        <v>3020</v>
      </c>
      <c r="D439" s="279" t="s">
        <v>359</v>
      </c>
      <c r="E439" s="280">
        <f>SUM(E440:E443)</f>
        <v>20413</v>
      </c>
      <c r="F439" s="280">
        <f>SUM(F440:F443)</f>
        <v>17000</v>
      </c>
      <c r="G439" s="281">
        <f t="shared" si="10"/>
        <v>0.83280262577769071</v>
      </c>
    </row>
    <row r="440" spans="1:9" ht="30">
      <c r="A440" s="289"/>
      <c r="B440" s="289"/>
      <c r="C440" s="289"/>
      <c r="D440" s="296" t="s">
        <v>335</v>
      </c>
      <c r="E440" s="284">
        <f>SUM('ZS Mich'!E102+'ZSP NW'!E139+'ZSO Kom'!E125)</f>
        <v>15125</v>
      </c>
      <c r="F440" s="284">
        <f>SUM('ZS Mich'!F102+'ZSP NW'!F139+'ZSO Kom'!F125)</f>
        <v>9000</v>
      </c>
      <c r="G440" s="285">
        <f t="shared" si="10"/>
        <v>0.5950413223140496</v>
      </c>
    </row>
    <row r="441" spans="1:9" ht="21.75" customHeight="1">
      <c r="A441" s="289"/>
      <c r="B441" s="289"/>
      <c r="C441" s="289"/>
      <c r="D441" s="296" t="s">
        <v>338</v>
      </c>
      <c r="E441" s="284">
        <f>SUM('ZS Mich'!E103+'ZSP NW'!E140+'ZSO Kom'!E126)</f>
        <v>2300</v>
      </c>
      <c r="F441" s="284">
        <f>SUM('ZS Mich'!F103+'ZSP NW'!F140+'ZSO Kom'!F126)</f>
        <v>0</v>
      </c>
      <c r="G441" s="285">
        <f t="shared" si="10"/>
        <v>0</v>
      </c>
    </row>
    <row r="442" spans="1:9" ht="19.5" customHeight="1">
      <c r="A442" s="289"/>
      <c r="B442" s="289"/>
      <c r="C442" s="289"/>
      <c r="D442" s="296" t="s">
        <v>237</v>
      </c>
      <c r="E442" s="284">
        <f>SUM('Pd Mich'!F46+'ZSP NW'!E145)</f>
        <v>988</v>
      </c>
      <c r="F442" s="284">
        <f>SUM('Pd Mich'!G46+'ZSP NW'!F141)</f>
        <v>6000</v>
      </c>
      <c r="G442" s="285">
        <f t="shared" si="10"/>
        <v>6.0728744939271255</v>
      </c>
    </row>
    <row r="443" spans="1:9" ht="18" customHeight="1">
      <c r="A443" s="289"/>
      <c r="B443" s="289"/>
      <c r="C443" s="289"/>
      <c r="D443" s="296" t="s">
        <v>337</v>
      </c>
      <c r="E443" s="284">
        <f>SUM('ZSO Kom'!E127)</f>
        <v>2000</v>
      </c>
      <c r="F443" s="284">
        <f>SUM('ZSO Kom'!F127)</f>
        <v>2000</v>
      </c>
      <c r="G443" s="285">
        <f t="shared" si="10"/>
        <v>1</v>
      </c>
    </row>
    <row r="444" spans="1:9" hidden="1">
      <c r="A444" s="289"/>
      <c r="B444" s="289"/>
      <c r="C444" s="287">
        <v>4410</v>
      </c>
      <c r="D444" s="279" t="s">
        <v>203</v>
      </c>
      <c r="E444" s="280" t="e">
        <f>SUM(E445+E446+E447+E448)</f>
        <v>#REF!</v>
      </c>
      <c r="F444" s="280" t="e">
        <f>SUM(F445+F446+F447+F448)</f>
        <v>#REF!</v>
      </c>
      <c r="G444" s="281" t="e">
        <f t="shared" si="10"/>
        <v>#REF!</v>
      </c>
    </row>
    <row r="445" spans="1:9" hidden="1">
      <c r="A445" s="289"/>
      <c r="B445" s="289"/>
      <c r="C445" s="289"/>
      <c r="D445" s="296" t="s">
        <v>246</v>
      </c>
      <c r="E445" s="284">
        <f>'ZS Mich'!E105+'ZSP NW'!E143+'ZSO Kom'!E129</f>
        <v>0</v>
      </c>
      <c r="F445" s="284">
        <f>'ZS Mich'!F105+'ZSP NW'!F143+'ZSO Kom'!F129</f>
        <v>0</v>
      </c>
      <c r="G445" s="285" t="e">
        <f t="shared" si="10"/>
        <v>#DIV/0!</v>
      </c>
    </row>
    <row r="446" spans="1:9" hidden="1">
      <c r="A446" s="289"/>
      <c r="B446" s="289"/>
      <c r="C446" s="289"/>
      <c r="D446" s="296" t="s">
        <v>247</v>
      </c>
      <c r="E446" s="284">
        <f>'ZS Mich'!E106+'ZSP NW'!E144+'ZSO Kom'!E130</f>
        <v>0</v>
      </c>
      <c r="F446" s="284">
        <f>'ZS Mich'!F106+'ZSP NW'!F144+'ZSO Kom'!F130</f>
        <v>0</v>
      </c>
      <c r="G446" s="285" t="e">
        <f t="shared" si="10"/>
        <v>#DIV/0!</v>
      </c>
    </row>
    <row r="447" spans="1:9" hidden="1">
      <c r="A447" s="289"/>
      <c r="B447" s="289"/>
      <c r="C447" s="289"/>
      <c r="D447" s="296" t="s">
        <v>248</v>
      </c>
      <c r="E447" s="284">
        <f>+'ZSO Kom'!E131</f>
        <v>0</v>
      </c>
      <c r="F447" s="284">
        <f>+'ZSO Kom'!F131</f>
        <v>0</v>
      </c>
      <c r="G447" s="285" t="e">
        <f t="shared" si="10"/>
        <v>#DIV/0!</v>
      </c>
    </row>
    <row r="448" spans="1:9" hidden="1">
      <c r="A448" s="289"/>
      <c r="B448" s="289"/>
      <c r="C448" s="289"/>
      <c r="D448" s="296" t="s">
        <v>249</v>
      </c>
      <c r="E448" s="284" t="e">
        <f>'Pd Mich'!F48+#REF!</f>
        <v>#REF!</v>
      </c>
      <c r="F448" s="284" t="e">
        <f>'Pd Mich'!G48+#REF!</f>
        <v>#REF!</v>
      </c>
      <c r="G448" s="285" t="e">
        <f t="shared" si="10"/>
        <v>#REF!</v>
      </c>
    </row>
    <row r="449" spans="1:9" ht="16.5" customHeight="1">
      <c r="A449" s="289"/>
      <c r="B449" s="289"/>
      <c r="C449" s="287">
        <v>4700</v>
      </c>
      <c r="D449" s="279" t="s">
        <v>243</v>
      </c>
      <c r="E449" s="280">
        <f>SUM(E450:E453)</f>
        <v>125998</v>
      </c>
      <c r="F449" s="280">
        <f>SUM(F450:F453)</f>
        <v>99064</v>
      </c>
      <c r="G449" s="281">
        <f t="shared" si="10"/>
        <v>0.78623470213812918</v>
      </c>
    </row>
    <row r="450" spans="1:9">
      <c r="A450" s="289"/>
      <c r="B450" s="289"/>
      <c r="C450" s="289"/>
      <c r="D450" s="296" t="s">
        <v>229</v>
      </c>
      <c r="E450" s="284">
        <f>SUM('ZS Mich'!E108+'ZSP NW'!E147+'ZSO Kom'!E133)</f>
        <v>86947</v>
      </c>
      <c r="F450" s="284">
        <f>SUM('ZS Mich'!F108+'ZSP NW'!F147+'ZSO Kom'!F133)</f>
        <v>80571</v>
      </c>
      <c r="G450" s="285">
        <f t="shared" si="10"/>
        <v>0.92666797014273061</v>
      </c>
    </row>
    <row r="451" spans="1:9">
      <c r="A451" s="289"/>
      <c r="B451" s="289"/>
      <c r="C451" s="289"/>
      <c r="D451" s="296" t="s">
        <v>230</v>
      </c>
      <c r="E451" s="284">
        <f>SUM('ZS Mich'!E109+'ZSP NW'!E148+'ZSO Kom'!E134)</f>
        <v>19396</v>
      </c>
      <c r="F451" s="284">
        <f>SUM('ZSP NW'!F148+'ZSO Kom'!F134+'ZS Mich'!F109)</f>
        <v>6164</v>
      </c>
      <c r="G451" s="285">
        <f t="shared" si="10"/>
        <v>0.31779748401732316</v>
      </c>
    </row>
    <row r="452" spans="1:9">
      <c r="A452" s="289"/>
      <c r="B452" s="289"/>
      <c r="C452" s="289"/>
      <c r="D452" s="296" t="s">
        <v>231</v>
      </c>
      <c r="E452" s="284">
        <f>SUM('Pd Mich'!F50+'ZSP NW'!E149)</f>
        <v>11912</v>
      </c>
      <c r="F452" s="284">
        <f>SUM('Pd Mich'!G50+'ZSP NW'!F149)</f>
        <v>5757</v>
      </c>
      <c r="G452" s="285">
        <f t="shared" si="10"/>
        <v>0.48329415715245133</v>
      </c>
    </row>
    <row r="453" spans="1:9">
      <c r="A453" s="289"/>
      <c r="B453" s="289"/>
      <c r="C453" s="289"/>
      <c r="D453" s="296" t="s">
        <v>232</v>
      </c>
      <c r="E453" s="284">
        <f>SUM('ZSO Kom'!E135)</f>
        <v>7743</v>
      </c>
      <c r="F453" s="284">
        <f>SUM('ZSO Kom'!F135)</f>
        <v>6572</v>
      </c>
      <c r="G453" s="285">
        <f t="shared" si="10"/>
        <v>0.84876662792199409</v>
      </c>
      <c r="I453" s="298"/>
    </row>
    <row r="454" spans="1:9">
      <c r="A454" s="659" t="s">
        <v>233</v>
      </c>
      <c r="B454" s="665"/>
      <c r="C454" s="666"/>
      <c r="D454" s="663"/>
      <c r="E454" s="291">
        <f>SUM(E439+E449)</f>
        <v>146411</v>
      </c>
      <c r="F454" s="291">
        <f>SUM(F439+F449)</f>
        <v>116064</v>
      </c>
      <c r="G454" s="292">
        <f t="shared" si="10"/>
        <v>0.79272732240063926</v>
      </c>
      <c r="H454" s="274">
        <f>'ZS Mich'!F110+'ZSP NW'!F150+'Pd Mich'!G51+'ZSO Kom'!F136</f>
        <v>116064</v>
      </c>
      <c r="I454" s="304">
        <f>H454-F454</f>
        <v>0</v>
      </c>
    </row>
    <row r="455" spans="1:9">
      <c r="A455" s="656">
        <v>801</v>
      </c>
      <c r="B455" s="656">
        <v>80149</v>
      </c>
      <c r="C455" s="656">
        <v>2540</v>
      </c>
      <c r="D455" s="323" t="s">
        <v>530</v>
      </c>
      <c r="E455" s="280">
        <f>SUM(E456:E465)</f>
        <v>1959438</v>
      </c>
      <c r="F455" s="280">
        <f>SUM(F456:F466)</f>
        <v>2063400</v>
      </c>
      <c r="G455" s="281">
        <f t="shared" si="10"/>
        <v>1.0530570500316927</v>
      </c>
      <c r="H455" s="274">
        <f>CUW!F114</f>
        <v>2063400</v>
      </c>
      <c r="I455" s="298">
        <f>H455-F455</f>
        <v>0</v>
      </c>
    </row>
    <row r="456" spans="1:9">
      <c r="A456" s="657"/>
      <c r="B456" s="657"/>
      <c r="C456" s="657"/>
      <c r="D456" s="290" t="str">
        <f>'Niepubl placówki'!B64</f>
        <v xml:space="preserve">Przedszkole Niepubliczne Zgromadzenia Sióstr Misjonarek Świętej Rodziny w Komorowie                </v>
      </c>
      <c r="E456" s="301">
        <f>SUM(CUW!E115)</f>
        <v>22622</v>
      </c>
      <c r="F456" s="301">
        <f>SUM(CUW!F115)</f>
        <v>19920</v>
      </c>
      <c r="G456" s="320">
        <f t="shared" si="10"/>
        <v>0.88055874812129786</v>
      </c>
      <c r="I456" s="298"/>
    </row>
    <row r="457" spans="1:9">
      <c r="A457" s="657"/>
      <c r="B457" s="657"/>
      <c r="C457" s="657"/>
      <c r="D457" s="290" t="str">
        <f>'Niepubl placówki'!B68</f>
        <v xml:space="preserve">Przedszkole Niepubliczne Sióstr Służebniczek w Komorowie                </v>
      </c>
      <c r="E457" s="301">
        <f>SUM(CUW!E116)</f>
        <v>51173</v>
      </c>
      <c r="F457" s="301">
        <f>SUM(CUW!F116)</f>
        <v>0</v>
      </c>
      <c r="G457" s="320">
        <f t="shared" si="10"/>
        <v>0</v>
      </c>
      <c r="I457" s="298"/>
    </row>
    <row r="458" spans="1:9">
      <c r="A458" s="657"/>
      <c r="B458" s="657"/>
      <c r="C458" s="657"/>
      <c r="D458" s="324" t="str">
        <f>'Niepubl placówki'!B73</f>
        <v>Punk Przedszkolny "Antoś" w Michałowicach</v>
      </c>
      <c r="E458" s="301">
        <f>SUM(CUW!E117)</f>
        <v>271484</v>
      </c>
      <c r="F458" s="301">
        <f>SUM(CUW!F117)</f>
        <v>208800</v>
      </c>
      <c r="G458" s="320">
        <f t="shared" si="10"/>
        <v>0.76910609833360344</v>
      </c>
      <c r="I458" s="298"/>
    </row>
    <row r="459" spans="1:9">
      <c r="A459" s="657"/>
      <c r="B459" s="657"/>
      <c r="C459" s="657"/>
      <c r="D459" s="324" t="str">
        <f>'Niepubl placówki'!B78</f>
        <v>Punk Przedszkolny Integracyjny "Słoneczna Kraina" w Nowej Wsi</v>
      </c>
      <c r="E459" s="301">
        <f>SUM(CUW!E118)</f>
        <v>224082</v>
      </c>
      <c r="F459" s="301">
        <f>SUM(CUW!F118)</f>
        <v>383640</v>
      </c>
      <c r="G459" s="320">
        <f t="shared" si="10"/>
        <v>1.7120518381663856</v>
      </c>
      <c r="I459" s="298"/>
    </row>
    <row r="460" spans="1:9">
      <c r="A460" s="657"/>
      <c r="B460" s="657"/>
      <c r="C460" s="657"/>
      <c r="D460" s="306" t="str">
        <f>'Niepubl placówki'!B83</f>
        <v>Punk Przedszkolny "Słoneczna Kraina" w Komorowie</v>
      </c>
      <c r="E460" s="301">
        <f>SUM(CUW!E119)</f>
        <v>358208</v>
      </c>
      <c r="F460" s="301">
        <f>SUM(CUW!F119)</f>
        <v>388200</v>
      </c>
      <c r="G460" s="320">
        <f t="shared" si="10"/>
        <v>1.0837278899410399</v>
      </c>
      <c r="I460" s="298"/>
    </row>
    <row r="461" spans="1:9">
      <c r="A461" s="657"/>
      <c r="B461" s="657"/>
      <c r="C461" s="657"/>
      <c r="D461" s="306" t="str">
        <f>'Niepubl placówki'!B88</f>
        <v>Punk Przedszkolny "Adaś" w Michałowicach</v>
      </c>
      <c r="E461" s="301">
        <f>SUM(CUW!E120)</f>
        <v>358208</v>
      </c>
      <c r="F461" s="301">
        <f>SUM(CUW!F120)</f>
        <v>299160</v>
      </c>
      <c r="G461" s="320">
        <f t="shared" si="10"/>
        <v>0.83515722708593887</v>
      </c>
      <c r="I461" s="298"/>
    </row>
    <row r="462" spans="1:9">
      <c r="A462" s="657"/>
      <c r="B462" s="657"/>
      <c r="C462" s="657"/>
      <c r="D462" s="295" t="str">
        <f>'Niepubl placówki'!B93</f>
        <v>Punkt Przedszkolny inspirowany pedagogiką Waldorfską w Komorowie</v>
      </c>
      <c r="E462" s="301">
        <f>SUM(CUW!E121)</f>
        <v>49009</v>
      </c>
      <c r="F462" s="301">
        <f>SUM(CUW!F121)</f>
        <v>0</v>
      </c>
      <c r="G462" s="320">
        <f t="shared" si="10"/>
        <v>0</v>
      </c>
      <c r="I462" s="298"/>
    </row>
    <row r="463" spans="1:9">
      <c r="A463" s="657"/>
      <c r="B463" s="657"/>
      <c r="C463" s="657"/>
      <c r="D463" s="295" t="str">
        <f>'Niepubl placówki'!B97</f>
        <v xml:space="preserve">Punk przedszkolny terapeutyczny "Pierwsze kroki" w Regułach </v>
      </c>
      <c r="E463" s="301">
        <f>SUM(CUW!E122)</f>
        <v>511726</v>
      </c>
      <c r="F463" s="301">
        <f>SUM(CUW!F122)</f>
        <v>649200</v>
      </c>
      <c r="G463" s="320">
        <f t="shared" si="10"/>
        <v>1.2686476747321809</v>
      </c>
      <c r="I463" s="298"/>
    </row>
    <row r="464" spans="1:9">
      <c r="A464" s="657"/>
      <c r="B464" s="657"/>
      <c r="C464" s="657"/>
      <c r="D464" s="324" t="str">
        <f>'Niepubl placówki'!B102</f>
        <v>Przedszkole NiepubliczneZielone Przedszkole w Komorowie</v>
      </c>
      <c r="E464" s="301">
        <f>SUM(CUW!E123)</f>
        <v>61753</v>
      </c>
      <c r="F464" s="301">
        <f>SUM(CUW!F123)</f>
        <v>57240</v>
      </c>
      <c r="G464" s="320">
        <f t="shared" si="10"/>
        <v>0.92691853027383286</v>
      </c>
      <c r="I464" s="298"/>
    </row>
    <row r="465" spans="1:9">
      <c r="A465" s="657"/>
      <c r="B465" s="657"/>
      <c r="C465" s="657"/>
      <c r="D465" s="290" t="str">
        <f>'Niepubl placówki'!B111</f>
        <v>Przedszkole Dobre Przedszkole w Komorowie</v>
      </c>
      <c r="E465" s="301">
        <f>SUM(CUW!E124)</f>
        <v>51173</v>
      </c>
      <c r="F465" s="301">
        <f>SUM(CUW!F124)</f>
        <v>0</v>
      </c>
      <c r="G465" s="320">
        <f t="shared" si="10"/>
        <v>0</v>
      </c>
      <c r="I465" s="298"/>
    </row>
    <row r="466" spans="1:9">
      <c r="A466" s="657"/>
      <c r="B466" s="657"/>
      <c r="C466" s="462"/>
      <c r="D466" s="290" t="str">
        <f>'Niepubl placówki'!B106</f>
        <v xml:space="preserve">Prywatne niepubliczne przedszkole w Michałowicach            </v>
      </c>
      <c r="E466" s="301">
        <f>SUM(CUW!E125)</f>
        <v>24000</v>
      </c>
      <c r="F466" s="301">
        <f>SUM(CUW!F125)</f>
        <v>57240</v>
      </c>
      <c r="G466" s="320">
        <f t="shared" si="10"/>
        <v>2.3849999999999998</v>
      </c>
      <c r="I466" s="298"/>
    </row>
    <row r="467" spans="1:9">
      <c r="A467" s="657"/>
      <c r="B467" s="657"/>
      <c r="C467" s="317">
        <v>3020</v>
      </c>
      <c r="D467" s="279" t="s">
        <v>359</v>
      </c>
      <c r="E467" s="307">
        <f>SUM(E468:E469)</f>
        <v>3244</v>
      </c>
      <c r="F467" s="307">
        <f>SUM(F468:F469)</f>
        <v>3050</v>
      </c>
      <c r="G467" s="281">
        <f t="shared" ref="G467:G506" si="11">SUM(F467/E467)</f>
        <v>0.94019728729963004</v>
      </c>
      <c r="I467" s="298"/>
    </row>
    <row r="468" spans="1:9">
      <c r="A468" s="657"/>
      <c r="B468" s="657"/>
      <c r="C468" s="317"/>
      <c r="D468" s="63" t="s">
        <v>822</v>
      </c>
      <c r="E468" s="301">
        <f>SUM('ZSP NW'!E153+'Pd Mich'!F53)</f>
        <v>1550</v>
      </c>
      <c r="F468" s="301">
        <f>SUM('ZSP NW'!F153+'Pd Mich'!G53)</f>
        <v>2000</v>
      </c>
      <c r="G468" s="285">
        <f t="shared" si="11"/>
        <v>1.2903225806451613</v>
      </c>
      <c r="I468" s="298"/>
    </row>
    <row r="469" spans="1:9">
      <c r="A469" s="657"/>
      <c r="B469" s="657"/>
      <c r="C469" s="317"/>
      <c r="D469" s="63" t="s">
        <v>823</v>
      </c>
      <c r="E469" s="301">
        <f>'ZSP NW'!E152+'ZSO Kom'!E137</f>
        <v>1694</v>
      </c>
      <c r="F469" s="301">
        <f>'ZSP NW'!F152+'ZSO Kom'!F137</f>
        <v>1050</v>
      </c>
      <c r="G469" s="285">
        <f t="shared" si="11"/>
        <v>0.6198347107438017</v>
      </c>
      <c r="I469" s="298"/>
    </row>
    <row r="470" spans="1:9">
      <c r="A470" s="657"/>
      <c r="B470" s="657"/>
      <c r="C470" s="287">
        <v>4010</v>
      </c>
      <c r="D470" s="279" t="s">
        <v>348</v>
      </c>
      <c r="E470" s="307">
        <f>SUM(E471:E472)</f>
        <v>24087</v>
      </c>
      <c r="F470" s="307">
        <f>SUM(F471:F472)</f>
        <v>36400</v>
      </c>
      <c r="G470" s="285">
        <f t="shared" si="11"/>
        <v>1.5111886079628014</v>
      </c>
      <c r="I470" s="298"/>
    </row>
    <row r="471" spans="1:9">
      <c r="A471" s="657"/>
      <c r="B471" s="657"/>
      <c r="C471" s="289"/>
      <c r="D471" s="283" t="s">
        <v>484</v>
      </c>
      <c r="E471" s="301">
        <f>'ZSP NW'!E156+'Pd Mich'!F54</f>
        <v>11508</v>
      </c>
      <c r="F471" s="301">
        <f>'ZSP NW'!F156+'Pd Mich'!G54</f>
        <v>24000</v>
      </c>
      <c r="G471" s="285">
        <f t="shared" si="11"/>
        <v>2.0855057351407718</v>
      </c>
      <c r="I471" s="298"/>
    </row>
    <row r="472" spans="1:9">
      <c r="A472" s="657"/>
      <c r="B472" s="657"/>
      <c r="C472" s="289"/>
      <c r="D472" s="283" t="s">
        <v>541</v>
      </c>
      <c r="E472" s="301">
        <f>'ZSP NW'!E155+'ZSO Kom'!E139</f>
        <v>12579</v>
      </c>
      <c r="F472" s="301">
        <f>'ZSP NW'!F155+'ZSO Kom'!F139</f>
        <v>12400</v>
      </c>
      <c r="G472" s="285">
        <f t="shared" si="11"/>
        <v>0.98576993401701252</v>
      </c>
      <c r="I472" s="298"/>
    </row>
    <row r="473" spans="1:9">
      <c r="A473" s="657"/>
      <c r="B473" s="657"/>
      <c r="C473" s="287">
        <v>4110</v>
      </c>
      <c r="D473" s="279" t="s">
        <v>446</v>
      </c>
      <c r="E473" s="307">
        <f>SUM(E474:E475)</f>
        <v>4698</v>
      </c>
      <c r="F473" s="307">
        <f>SUM(F474:F475)</f>
        <v>6800</v>
      </c>
      <c r="G473" s="285">
        <f t="shared" si="11"/>
        <v>1.4474244359301831</v>
      </c>
      <c r="I473" s="298"/>
    </row>
    <row r="474" spans="1:9">
      <c r="A474" s="657"/>
      <c r="B474" s="657"/>
      <c r="C474" s="289"/>
      <c r="D474" s="283" t="s">
        <v>485</v>
      </c>
      <c r="E474" s="301">
        <f>'ZSP NW'!E159+'Pd Mich'!F56</f>
        <v>2245</v>
      </c>
      <c r="F474" s="301">
        <f>'ZSP NW'!F159+'Pd Mich'!G56</f>
        <v>4500</v>
      </c>
      <c r="G474" s="285">
        <f t="shared" si="11"/>
        <v>2.0044543429844097</v>
      </c>
      <c r="I474" s="298"/>
    </row>
    <row r="475" spans="1:9">
      <c r="A475" s="657"/>
      <c r="B475" s="657"/>
      <c r="C475" s="289"/>
      <c r="D475" s="283" t="s">
        <v>542</v>
      </c>
      <c r="E475" s="301">
        <f>'ZSP NW'!E158+'ZSO Kom'!E141</f>
        <v>2453</v>
      </c>
      <c r="F475" s="301">
        <f>'ZSP NW'!F158+'ZSO Kom'!F141</f>
        <v>2300</v>
      </c>
      <c r="G475" s="285">
        <f t="shared" si="11"/>
        <v>0.93762739502649817</v>
      </c>
      <c r="I475" s="298"/>
    </row>
    <row r="476" spans="1:9">
      <c r="A476" s="657"/>
      <c r="B476" s="657"/>
      <c r="C476" s="287">
        <v>4120</v>
      </c>
      <c r="D476" s="279" t="s">
        <v>301</v>
      </c>
      <c r="E476" s="307">
        <f>SUM(E477:E478)</f>
        <v>670</v>
      </c>
      <c r="F476" s="307">
        <f>SUM(F477:F478)</f>
        <v>980</v>
      </c>
      <c r="G476" s="285">
        <f t="shared" si="11"/>
        <v>1.4626865671641791</v>
      </c>
      <c r="I476" s="298"/>
    </row>
    <row r="477" spans="1:9">
      <c r="A477" s="657"/>
      <c r="B477" s="657"/>
      <c r="C477" s="289"/>
      <c r="D477" s="283" t="s">
        <v>622</v>
      </c>
      <c r="E477" s="301">
        <f>'ZSP NW'!E161+'ZSO Kom'!E143</f>
        <v>350</v>
      </c>
      <c r="F477" s="301">
        <f>'ZSP NW'!F161+'ZSO Kom'!F143</f>
        <v>330</v>
      </c>
      <c r="G477" s="285">
        <f t="shared" si="11"/>
        <v>0.94285714285714284</v>
      </c>
      <c r="I477" s="298"/>
    </row>
    <row r="478" spans="1:9">
      <c r="A478" s="657"/>
      <c r="B478" s="657"/>
      <c r="C478" s="289"/>
      <c r="D478" s="283" t="s">
        <v>621</v>
      </c>
      <c r="E478" s="301">
        <f>'ZSP NW'!E162+'Pd Mich'!F58</f>
        <v>320</v>
      </c>
      <c r="F478" s="301">
        <f>'ZSP NW'!F162+'Pd Mich'!G58</f>
        <v>650</v>
      </c>
      <c r="G478" s="285">
        <f t="shared" si="11"/>
        <v>2.03125</v>
      </c>
      <c r="I478" s="298"/>
    </row>
    <row r="479" spans="1:9" hidden="1">
      <c r="A479" s="657"/>
      <c r="B479" s="657"/>
      <c r="C479" s="287">
        <v>4210</v>
      </c>
      <c r="D479" s="279" t="s">
        <v>274</v>
      </c>
      <c r="E479" s="307" t="e">
        <f>E480</f>
        <v>#REF!</v>
      </c>
      <c r="F479" s="307" t="e">
        <f>F480</f>
        <v>#REF!</v>
      </c>
      <c r="G479" s="281" t="e">
        <f t="shared" si="11"/>
        <v>#REF!</v>
      </c>
      <c r="I479" s="298"/>
    </row>
    <row r="480" spans="1:9" hidden="1">
      <c r="A480" s="657"/>
      <c r="B480" s="657"/>
      <c r="C480" s="317"/>
      <c r="D480" s="306" t="s">
        <v>483</v>
      </c>
      <c r="E480" s="301" t="e">
        <f>#REF!+'Pd Mich'!F60</f>
        <v>#REF!</v>
      </c>
      <c r="F480" s="301" t="e">
        <f>#REF!+'Pd Mich'!G60</f>
        <v>#REF!</v>
      </c>
      <c r="G480" s="285" t="e">
        <f t="shared" si="11"/>
        <v>#REF!</v>
      </c>
      <c r="I480" s="298"/>
    </row>
    <row r="481" spans="1:9">
      <c r="A481" s="657"/>
      <c r="B481" s="657"/>
      <c r="C481" s="287">
        <v>4240</v>
      </c>
      <c r="D481" s="279" t="s">
        <v>179</v>
      </c>
      <c r="E481" s="307">
        <f>E482</f>
        <v>0</v>
      </c>
      <c r="F481" s="307">
        <f>F482</f>
        <v>3000</v>
      </c>
      <c r="G481" s="281" t="e">
        <f t="shared" si="11"/>
        <v>#DIV/0!</v>
      </c>
      <c r="I481" s="298"/>
    </row>
    <row r="482" spans="1:9">
      <c r="A482" s="657"/>
      <c r="B482" s="657"/>
      <c r="C482" s="289"/>
      <c r="D482" s="283" t="s">
        <v>486</v>
      </c>
      <c r="E482" s="301">
        <f>'Pd Mich'!F62</f>
        <v>0</v>
      </c>
      <c r="F482" s="301">
        <f>'Pd Mich'!G62</f>
        <v>3000</v>
      </c>
      <c r="G482" s="285" t="e">
        <f t="shared" si="11"/>
        <v>#DIV/0!</v>
      </c>
      <c r="I482" s="298"/>
    </row>
    <row r="483" spans="1:9" hidden="1">
      <c r="A483" s="657"/>
      <c r="B483" s="657"/>
      <c r="C483" s="287">
        <v>4300</v>
      </c>
      <c r="D483" s="279" t="s">
        <v>100</v>
      </c>
      <c r="E483" s="325">
        <f>E484</f>
        <v>0</v>
      </c>
      <c r="F483" s="307">
        <f>F484</f>
        <v>0</v>
      </c>
      <c r="G483" s="281" t="e">
        <f t="shared" si="11"/>
        <v>#DIV/0!</v>
      </c>
      <c r="I483" s="298"/>
    </row>
    <row r="484" spans="1:9" hidden="1">
      <c r="A484" s="657"/>
      <c r="B484" s="657"/>
      <c r="C484" s="289"/>
      <c r="D484" s="300" t="s">
        <v>487</v>
      </c>
      <c r="E484" s="326">
        <f>'ZSP NW'!E163+'Pd Mich'!F64</f>
        <v>0</v>
      </c>
      <c r="F484" s="301">
        <f>'ZSP NW'!F163+'Pd Mich'!G64</f>
        <v>0</v>
      </c>
      <c r="G484" s="285" t="e">
        <f t="shared" si="11"/>
        <v>#DIV/0!</v>
      </c>
      <c r="I484" s="298"/>
    </row>
    <row r="485" spans="1:9" ht="25.15" customHeight="1">
      <c r="A485" s="501" t="s">
        <v>726</v>
      </c>
      <c r="B485" s="667"/>
      <c r="C485" s="668"/>
      <c r="D485" s="669"/>
      <c r="E485" s="291">
        <f>E455+E467+E470+E473+E476+E481+E483</f>
        <v>1992137</v>
      </c>
      <c r="F485" s="291">
        <f>F455+F467+F470+F473+F476+F481+F483</f>
        <v>2113630</v>
      </c>
      <c r="G485" s="292">
        <f t="shared" si="11"/>
        <v>1.0609862675107185</v>
      </c>
      <c r="H485" s="274">
        <f>'ZSP NW'!F165+'Pd Mich'!G66+'ZSO Kom'!F145+CUW!F126</f>
        <v>2113630</v>
      </c>
      <c r="I485" s="304"/>
    </row>
    <row r="486" spans="1:9" ht="17.25" customHeight="1">
      <c r="A486" s="670">
        <v>801</v>
      </c>
      <c r="B486" s="672">
        <v>80150</v>
      </c>
      <c r="C486" s="327">
        <v>3020</v>
      </c>
      <c r="D486" s="279" t="s">
        <v>359</v>
      </c>
      <c r="E486" s="280">
        <f>SUM(E487:E488)</f>
        <v>25912</v>
      </c>
      <c r="F486" s="280">
        <f>SUM(F487:F488)</f>
        <v>45760</v>
      </c>
      <c r="G486" s="281">
        <f t="shared" si="11"/>
        <v>1.7659771534424205</v>
      </c>
      <c r="H486" s="274">
        <f>'ZS Mich'!F111+'ZSP NW'!F166+'ZSO Kom'!F146</f>
        <v>45760</v>
      </c>
      <c r="I486" s="298"/>
    </row>
    <row r="487" spans="1:9" ht="19.5" customHeight="1">
      <c r="A487" s="671"/>
      <c r="B487" s="673"/>
      <c r="C487" s="328"/>
      <c r="D487" s="283" t="s">
        <v>671</v>
      </c>
      <c r="E487" s="284">
        <f>SUM('ZS Mich'!E113+'ZSP NW'!E167+'ZSO Kom'!E147)</f>
        <v>25912</v>
      </c>
      <c r="F487" s="284">
        <f>SUM('ZS Mich'!F112+'ZSP NW'!F167+'ZSO Kom'!F147)</f>
        <v>41000</v>
      </c>
      <c r="G487" s="285">
        <f t="shared" si="11"/>
        <v>1.5822784810126582</v>
      </c>
      <c r="I487" s="298"/>
    </row>
    <row r="488" spans="1:9" ht="19.5" customHeight="1">
      <c r="A488" s="671"/>
      <c r="B488" s="673"/>
      <c r="C488" s="328"/>
      <c r="D488" s="283" t="str">
        <f>'ZS Mich'!D113</f>
        <v>dokształcanie nauczycieli SP</v>
      </c>
      <c r="E488" s="284">
        <f>'ZS Mich'!E113</f>
        <v>0</v>
      </c>
      <c r="F488" s="284">
        <f>'ZS Mich'!F113+'ZSP NW'!F168</f>
        <v>4760</v>
      </c>
      <c r="G488" s="285" t="e">
        <f t="shared" si="11"/>
        <v>#DIV/0!</v>
      </c>
      <c r="I488" s="298"/>
    </row>
    <row r="489" spans="1:9" ht="19.149999999999999" customHeight="1">
      <c r="A489" s="671"/>
      <c r="B489" s="673"/>
      <c r="C489" s="328">
        <v>4010</v>
      </c>
      <c r="D489" s="279" t="s">
        <v>348</v>
      </c>
      <c r="E489" s="284">
        <f>E490</f>
        <v>412839</v>
      </c>
      <c r="F489" s="284">
        <f>F490</f>
        <v>495000</v>
      </c>
      <c r="G489" s="285">
        <f t="shared" si="11"/>
        <v>1.1990146279784613</v>
      </c>
      <c r="I489" s="298"/>
    </row>
    <row r="490" spans="1:9" ht="18" customHeight="1">
      <c r="A490" s="671"/>
      <c r="B490" s="673"/>
      <c r="C490" s="328"/>
      <c r="D490" s="283" t="s">
        <v>297</v>
      </c>
      <c r="E490" s="284">
        <f>SUM('ZS Mich'!E115+'ZSP NW'!E170+'ZSO Kom'!E149)</f>
        <v>412839</v>
      </c>
      <c r="F490" s="284">
        <f>SUM('ZS Mich'!F115+'ZSP NW'!F170+'ZSO Kom'!F149)</f>
        <v>495000</v>
      </c>
      <c r="G490" s="285">
        <f t="shared" si="11"/>
        <v>1.1990146279784613</v>
      </c>
      <c r="I490" s="298"/>
    </row>
    <row r="491" spans="1:9" ht="16.5" customHeight="1">
      <c r="A491" s="671"/>
      <c r="B491" s="673"/>
      <c r="C491" s="287">
        <v>4110</v>
      </c>
      <c r="D491" s="279" t="s">
        <v>446</v>
      </c>
      <c r="E491" s="284">
        <f>E492</f>
        <v>80211</v>
      </c>
      <c r="F491" s="284">
        <f>F492</f>
        <v>92500</v>
      </c>
      <c r="G491" s="285">
        <f t="shared" si="11"/>
        <v>1.1532084128112103</v>
      </c>
      <c r="I491" s="298"/>
    </row>
    <row r="492" spans="1:9" ht="18.600000000000001" customHeight="1">
      <c r="A492" s="671"/>
      <c r="B492" s="673"/>
      <c r="C492" s="328"/>
      <c r="D492" s="283" t="s">
        <v>298</v>
      </c>
      <c r="E492" s="284">
        <f>SUM('ZS Mich'!E117+'ZSP NW'!E172+'ZSO Kom'!E151)</f>
        <v>80211</v>
      </c>
      <c r="F492" s="284">
        <f>SUM('ZS Mich'!F117+'ZSP NW'!F172+'ZSO Kom'!F151)</f>
        <v>92500</v>
      </c>
      <c r="G492" s="285">
        <f t="shared" si="11"/>
        <v>1.1532084128112103</v>
      </c>
      <c r="I492" s="298"/>
    </row>
    <row r="493" spans="1:9" ht="17.25" customHeight="1">
      <c r="A493" s="671"/>
      <c r="B493" s="673"/>
      <c r="C493" s="287">
        <v>4120</v>
      </c>
      <c r="D493" s="279" t="s">
        <v>301</v>
      </c>
      <c r="E493" s="284">
        <f>E494</f>
        <v>10146</v>
      </c>
      <c r="F493" s="284">
        <f>F494</f>
        <v>13100</v>
      </c>
      <c r="G493" s="285">
        <f t="shared" si="11"/>
        <v>1.2911492213680269</v>
      </c>
      <c r="I493" s="298"/>
    </row>
    <row r="494" spans="1:9" ht="18" customHeight="1">
      <c r="A494" s="671"/>
      <c r="B494" s="673"/>
      <c r="C494" s="328"/>
      <c r="D494" s="283" t="s">
        <v>103</v>
      </c>
      <c r="E494" s="284">
        <f>SUM('ZS Mich'!E119+'ZSP NW'!E174+'ZSO Kom'!E153)</f>
        <v>10146</v>
      </c>
      <c r="F494" s="284">
        <f>SUM('ZS Mich'!F119+'ZSP NW'!F174+'ZSO Kom'!F153)</f>
        <v>13100</v>
      </c>
      <c r="G494" s="285">
        <f t="shared" si="11"/>
        <v>1.2911492213680269</v>
      </c>
      <c r="I494" s="298"/>
    </row>
    <row r="495" spans="1:9" ht="20.25" customHeight="1">
      <c r="A495" s="671"/>
      <c r="B495" s="673"/>
      <c r="C495" s="287">
        <v>4210</v>
      </c>
      <c r="D495" s="279" t="s">
        <v>274</v>
      </c>
      <c r="E495" s="284">
        <f>E496</f>
        <v>4400</v>
      </c>
      <c r="F495" s="284">
        <f>SUM(F496:F497)</f>
        <v>2500</v>
      </c>
      <c r="G495" s="285">
        <f t="shared" si="11"/>
        <v>0.56818181818181823</v>
      </c>
      <c r="I495" s="298"/>
    </row>
    <row r="496" spans="1:9" ht="20.25" customHeight="1">
      <c r="A496" s="671"/>
      <c r="B496" s="673"/>
      <c r="C496" s="328"/>
      <c r="D496" s="21" t="s">
        <v>706</v>
      </c>
      <c r="E496" s="284">
        <f>SUM('ZSO Kom'!E155+'ZS Mich'!E120)</f>
        <v>4400</v>
      </c>
      <c r="F496" s="284">
        <f>SUM('ZSO Kom'!F155+'ZS Mich'!F120)</f>
        <v>2500</v>
      </c>
      <c r="G496" s="285">
        <f t="shared" si="11"/>
        <v>0.56818181818181823</v>
      </c>
      <c r="I496" s="298"/>
    </row>
    <row r="497" spans="1:9" ht="20.25" hidden="1" customHeight="1">
      <c r="A497" s="671"/>
      <c r="B497" s="673"/>
      <c r="C497" s="328"/>
      <c r="D497" s="283" t="s">
        <v>469</v>
      </c>
      <c r="E497" s="284">
        <f>SUM('ZS Mich'!E121+'ZSP NW'!E176+'ZSO Kom'!E156)</f>
        <v>1400</v>
      </c>
      <c r="F497" s="284">
        <f>SUM('ZS Mich'!F121+'ZSP NW'!F176+'ZSO Kom'!F156)</f>
        <v>0</v>
      </c>
      <c r="G497" s="285">
        <f t="shared" si="11"/>
        <v>0</v>
      </c>
      <c r="I497" s="298"/>
    </row>
    <row r="498" spans="1:9" ht="20.25" customHeight="1">
      <c r="A498" s="671"/>
      <c r="B498" s="673"/>
      <c r="C498" s="287">
        <v>4240</v>
      </c>
      <c r="D498" s="279" t="s">
        <v>179</v>
      </c>
      <c r="E498" s="284">
        <f>SUM(E499:E499)</f>
        <v>21840</v>
      </c>
      <c r="F498" s="284">
        <f>SUM(F499:F499)</f>
        <v>11000</v>
      </c>
      <c r="G498" s="285">
        <f t="shared" si="11"/>
        <v>0.50366300366300365</v>
      </c>
      <c r="I498" s="298"/>
    </row>
    <row r="499" spans="1:9" ht="20.25" customHeight="1">
      <c r="A499" s="671"/>
      <c r="B499" s="673"/>
      <c r="C499" s="328"/>
      <c r="D499" s="283" t="s">
        <v>543</v>
      </c>
      <c r="E499" s="284">
        <f>SUM('ZSP NW'!E178+'ZSO Kom'!E158+'ZS Mich'!E122)</f>
        <v>21840</v>
      </c>
      <c r="F499" s="284">
        <f>SUM('ZSP NW'!F178+'ZSO Kom'!F158+'ZS Mich'!F122)</f>
        <v>11000</v>
      </c>
      <c r="G499" s="285">
        <f t="shared" si="11"/>
        <v>0.50366300366300365</v>
      </c>
      <c r="I499" s="298"/>
    </row>
    <row r="500" spans="1:9" ht="20.25" customHeight="1">
      <c r="A500" s="671"/>
      <c r="B500" s="673"/>
      <c r="C500" s="287">
        <v>4270</v>
      </c>
      <c r="D500" s="279" t="s">
        <v>238</v>
      </c>
      <c r="E500" s="284">
        <f>E501</f>
        <v>2400</v>
      </c>
      <c r="F500" s="284">
        <f>F501</f>
        <v>3000</v>
      </c>
      <c r="G500" s="285">
        <f t="shared" si="11"/>
        <v>1.25</v>
      </c>
      <c r="I500" s="298"/>
    </row>
    <row r="501" spans="1:9" ht="20.25" customHeight="1">
      <c r="A501" s="671"/>
      <c r="B501" s="673"/>
      <c r="C501" s="287"/>
      <c r="D501" s="283" t="s">
        <v>672</v>
      </c>
      <c r="E501" s="284">
        <f>SUM('ZSP NW'!E182)</f>
        <v>2400</v>
      </c>
      <c r="F501" s="284">
        <f>SUM('ZSP NW'!F182)</f>
        <v>3000</v>
      </c>
      <c r="G501" s="285">
        <f t="shared" si="11"/>
        <v>1.25</v>
      </c>
      <c r="I501" s="298"/>
    </row>
    <row r="502" spans="1:9" ht="20.25" customHeight="1">
      <c r="A502" s="671"/>
      <c r="B502" s="673"/>
      <c r="C502" s="287">
        <v>4300</v>
      </c>
      <c r="D502" s="279" t="s">
        <v>100</v>
      </c>
      <c r="E502" s="284">
        <f>E503</f>
        <v>12960</v>
      </c>
      <c r="F502" s="284">
        <f>F503</f>
        <v>14100</v>
      </c>
      <c r="G502" s="285">
        <f>SUM(F502/E502)</f>
        <v>1.087962962962963</v>
      </c>
      <c r="I502" s="298"/>
    </row>
    <row r="503" spans="1:9" ht="20.25" customHeight="1">
      <c r="A503" s="671"/>
      <c r="B503" s="673"/>
      <c r="C503" s="287"/>
      <c r="D503" s="283" t="s">
        <v>666</v>
      </c>
      <c r="E503" s="284">
        <f>SUM('ZS Mich'!E126+'ZSP NW'!E183+'ZSO Kom'!E161)</f>
        <v>12960</v>
      </c>
      <c r="F503" s="284">
        <f>SUM('ZS Mich'!F126+'ZSP NW'!F183+'ZSO Kom'!F161)</f>
        <v>14100</v>
      </c>
      <c r="G503" s="285">
        <f>SUM(F503/E503)</f>
        <v>1.087962962962963</v>
      </c>
      <c r="I503" s="298"/>
    </row>
    <row r="504" spans="1:9" ht="20.25" customHeight="1">
      <c r="A504" s="671"/>
      <c r="B504" s="673"/>
      <c r="C504" s="287">
        <v>4700</v>
      </c>
      <c r="D504" s="279" t="s">
        <v>243</v>
      </c>
      <c r="E504" s="284">
        <f>E505</f>
        <v>7410</v>
      </c>
      <c r="F504" s="284">
        <f>F505</f>
        <v>10000</v>
      </c>
      <c r="G504" s="285">
        <f t="shared" si="11"/>
        <v>1.3495276653171391</v>
      </c>
      <c r="I504" s="298"/>
    </row>
    <row r="505" spans="1:9" ht="17.25" customHeight="1">
      <c r="A505" s="671"/>
      <c r="B505" s="673"/>
      <c r="C505" s="287"/>
      <c r="D505" s="21" t="s">
        <v>705</v>
      </c>
      <c r="E505" s="284">
        <f>SUM('ZS Mich'!E128+'ZSP NW'!E186+'ZSO Kom'!E163)</f>
        <v>7410</v>
      </c>
      <c r="F505" s="284">
        <f>SUM('ZS Mich'!F128+'ZSP NW'!F186+'ZSO Kom'!F163)</f>
        <v>10000</v>
      </c>
      <c r="G505" s="285">
        <f t="shared" si="11"/>
        <v>1.3495276653171391</v>
      </c>
      <c r="I505" s="298"/>
    </row>
    <row r="506" spans="1:9" ht="27.75" customHeight="1">
      <c r="A506" s="650" t="str">
        <f>'ZSO Kom'!A165:D165</f>
        <v>80150 Realizacja zadań wymagających stosowania specjalnej organizacji nauki i metod pracy dla dzieci i młodzieży w szkołach podstawowych: Razem</v>
      </c>
      <c r="B506" s="651"/>
      <c r="C506" s="652"/>
      <c r="D506" s="653"/>
      <c r="E506" s="291">
        <f>SUM(E486+E489+E491+E493+E495+E498+E500+E502+E504)</f>
        <v>578118</v>
      </c>
      <c r="F506" s="291">
        <f>SUM(F486+F489+F491+F493+F495+F498+F500+F502+F504)</f>
        <v>686960</v>
      </c>
      <c r="G506" s="292">
        <f t="shared" si="11"/>
        <v>1.1882695228309792</v>
      </c>
      <c r="H506" s="274">
        <f>'ZS Mich'!F130+'ZSP NW'!F188+'ZSO Kom'!F165</f>
        <v>686960</v>
      </c>
      <c r="I506" s="304">
        <f>H506-F506</f>
        <v>0</v>
      </c>
    </row>
    <row r="507" spans="1:9" ht="18" customHeight="1">
      <c r="A507" s="495">
        <v>801</v>
      </c>
      <c r="B507" s="674">
        <v>80152</v>
      </c>
      <c r="C507" s="670">
        <v>3020</v>
      </c>
      <c r="D507" s="279" t="s">
        <v>359</v>
      </c>
      <c r="E507" s="280">
        <f>SUM(E508:E509)</f>
        <v>19960</v>
      </c>
      <c r="F507" s="280">
        <f>SUM(F508:F509)</f>
        <v>2550</v>
      </c>
      <c r="G507" s="281">
        <f t="shared" ref="G507:G512" si="12">SUM(F507/E507)</f>
        <v>0.12775551102204408</v>
      </c>
      <c r="I507" s="304"/>
    </row>
    <row r="508" spans="1:9" ht="21" customHeight="1">
      <c r="A508" s="496"/>
      <c r="B508" s="675"/>
      <c r="C508" s="677"/>
      <c r="D508" s="283" t="s">
        <v>669</v>
      </c>
      <c r="E508" s="284">
        <f>'ZSO Kom'!E167</f>
        <v>9640</v>
      </c>
      <c r="F508" s="284">
        <f>'ZSO Kom'!F167</f>
        <v>900</v>
      </c>
      <c r="G508" s="285">
        <f t="shared" si="12"/>
        <v>9.3360995850622408E-2</v>
      </c>
      <c r="I508" s="304"/>
    </row>
    <row r="509" spans="1:9" ht="15.6" customHeight="1">
      <c r="A509" s="496"/>
      <c r="B509" s="675"/>
      <c r="C509" s="678"/>
      <c r="D509" s="283" t="s">
        <v>670</v>
      </c>
      <c r="E509" s="284">
        <f>'ZSO Kom'!E168</f>
        <v>10320</v>
      </c>
      <c r="F509" s="284">
        <f>'ZSO Kom'!F168</f>
        <v>1650</v>
      </c>
      <c r="G509" s="285">
        <f t="shared" si="12"/>
        <v>0.15988372093023256</v>
      </c>
      <c r="I509" s="304"/>
    </row>
    <row r="510" spans="1:9" ht="17.45" customHeight="1">
      <c r="A510" s="496"/>
      <c r="B510" s="675"/>
      <c r="C510" s="679">
        <v>4010</v>
      </c>
      <c r="D510" s="279" t="s">
        <v>348</v>
      </c>
      <c r="E510" s="284">
        <f>SUM(E511:E512)</f>
        <v>166791</v>
      </c>
      <c r="F510" s="284">
        <f>SUM(F511:F512)</f>
        <v>32000</v>
      </c>
      <c r="G510" s="285">
        <f t="shared" si="12"/>
        <v>0.19185687477142052</v>
      </c>
      <c r="I510" s="304"/>
    </row>
    <row r="511" spans="1:9" ht="22.9" customHeight="1">
      <c r="A511" s="496"/>
      <c r="B511" s="675"/>
      <c r="C511" s="680"/>
      <c r="D511" s="283" t="s">
        <v>505</v>
      </c>
      <c r="E511" s="284">
        <f>'ZSO Kom'!E170</f>
        <v>90153</v>
      </c>
      <c r="F511" s="284">
        <f>'ZSO Kom'!F170</f>
        <v>11000</v>
      </c>
      <c r="G511" s="285">
        <f t="shared" si="12"/>
        <v>0.12201479706720797</v>
      </c>
      <c r="I511" s="304"/>
    </row>
    <row r="512" spans="1:9" ht="21.6" customHeight="1">
      <c r="A512" s="496"/>
      <c r="B512" s="675"/>
      <c r="C512" s="681"/>
      <c r="D512" s="283" t="s">
        <v>101</v>
      </c>
      <c r="E512" s="284">
        <f>'ZSO Kom'!E171</f>
        <v>76638</v>
      </c>
      <c r="F512" s="284">
        <f>'ZSO Kom'!F171</f>
        <v>21000</v>
      </c>
      <c r="G512" s="285">
        <f t="shared" si="12"/>
        <v>0.27401550144836767</v>
      </c>
      <c r="I512" s="304"/>
    </row>
    <row r="513" spans="1:9" ht="21.6" customHeight="1">
      <c r="A513" s="496"/>
      <c r="B513" s="675"/>
      <c r="C513" s="656">
        <v>4110</v>
      </c>
      <c r="D513" s="279" t="s">
        <v>446</v>
      </c>
      <c r="E513" s="284">
        <f>SUM(E514:E515)</f>
        <v>32532</v>
      </c>
      <c r="F513" s="284">
        <f>SUM(F514:F515)</f>
        <v>5800</v>
      </c>
      <c r="G513" s="285">
        <f t="shared" ref="G513:G548" si="13">SUM(F513/E513)</f>
        <v>0.17828599532767736</v>
      </c>
      <c r="I513" s="304"/>
    </row>
    <row r="514" spans="1:9" ht="16.899999999999999" customHeight="1">
      <c r="A514" s="496"/>
      <c r="B514" s="675"/>
      <c r="C514" s="657"/>
      <c r="D514" s="283" t="s">
        <v>506</v>
      </c>
      <c r="E514" s="284">
        <f>'ZSO Kom'!E173</f>
        <v>17584</v>
      </c>
      <c r="F514" s="284">
        <f>'ZSO Kom'!F173</f>
        <v>2000</v>
      </c>
      <c r="G514" s="285">
        <f t="shared" si="13"/>
        <v>0.11373976342129208</v>
      </c>
      <c r="I514" s="304"/>
    </row>
    <row r="515" spans="1:9" ht="14.45" customHeight="1">
      <c r="A515" s="496"/>
      <c r="B515" s="675"/>
      <c r="C515" s="658"/>
      <c r="D515" s="283" t="s">
        <v>102</v>
      </c>
      <c r="E515" s="284">
        <f>'ZSO Kom'!E174</f>
        <v>14948</v>
      </c>
      <c r="F515" s="284">
        <f>'ZSO Kom'!F174</f>
        <v>3800</v>
      </c>
      <c r="G515" s="285">
        <f t="shared" si="13"/>
        <v>0.25421461065025419</v>
      </c>
      <c r="I515" s="304"/>
    </row>
    <row r="516" spans="1:9" ht="14.45" customHeight="1">
      <c r="A516" s="496"/>
      <c r="B516" s="675"/>
      <c r="C516" s="656">
        <v>4120</v>
      </c>
      <c r="D516" s="279" t="s">
        <v>301</v>
      </c>
      <c r="E516" s="284">
        <f>SUM(E517:E518)</f>
        <v>4637</v>
      </c>
      <c r="F516" s="284">
        <f>SUM(F517:F518)</f>
        <v>840</v>
      </c>
      <c r="G516" s="285">
        <f>SUM(F516/E516)</f>
        <v>0.18115160664222557</v>
      </c>
      <c r="I516" s="304"/>
    </row>
    <row r="517" spans="1:9" ht="14.45" customHeight="1">
      <c r="A517" s="496"/>
      <c r="B517" s="675"/>
      <c r="C517" s="657"/>
      <c r="D517" s="283" t="s">
        <v>507</v>
      </c>
      <c r="E517" s="284">
        <f>'ZSO Kom'!E176</f>
        <v>2506</v>
      </c>
      <c r="F517" s="284">
        <f>'ZSO Kom'!F176</f>
        <v>290</v>
      </c>
      <c r="G517" s="285">
        <f>SUM(F517/E517)</f>
        <v>0.11572226656025539</v>
      </c>
      <c r="I517" s="304"/>
    </row>
    <row r="518" spans="1:9" ht="14.45" customHeight="1">
      <c r="A518" s="496"/>
      <c r="B518" s="675"/>
      <c r="C518" s="658"/>
      <c r="D518" s="283" t="s">
        <v>104</v>
      </c>
      <c r="E518" s="284">
        <f>'ZSO Kom'!E177</f>
        <v>2131</v>
      </c>
      <c r="F518" s="284">
        <f>'ZSO Kom'!F177</f>
        <v>550</v>
      </c>
      <c r="G518" s="285">
        <f>SUM(F518/E518)</f>
        <v>0.25809479117785078</v>
      </c>
      <c r="I518" s="304"/>
    </row>
    <row r="519" spans="1:9" ht="20.45" customHeight="1">
      <c r="A519" s="496"/>
      <c r="B519" s="675"/>
      <c r="C519" s="656">
        <v>4240</v>
      </c>
      <c r="D519" s="279" t="s">
        <v>179</v>
      </c>
      <c r="E519" s="284">
        <f>E520</f>
        <v>1000</v>
      </c>
      <c r="F519" s="284">
        <f>F520</f>
        <v>1000</v>
      </c>
      <c r="G519" s="285">
        <f t="shared" si="13"/>
        <v>1</v>
      </c>
      <c r="I519" s="304"/>
    </row>
    <row r="520" spans="1:9" ht="19.899999999999999" customHeight="1">
      <c r="A520" s="496"/>
      <c r="B520" s="675"/>
      <c r="C520" s="658"/>
      <c r="D520" s="21" t="s">
        <v>757</v>
      </c>
      <c r="E520" s="284">
        <f>'ZSO Kom'!E178</f>
        <v>1000</v>
      </c>
      <c r="F520" s="284">
        <f>'ZSO Kom'!F178</f>
        <v>1000</v>
      </c>
      <c r="G520" s="285">
        <f t="shared" si="13"/>
        <v>1</v>
      </c>
      <c r="I520" s="304"/>
    </row>
    <row r="521" spans="1:9" ht="19.899999999999999" customHeight="1">
      <c r="A521" s="496"/>
      <c r="B521" s="675"/>
      <c r="C521" s="656">
        <v>4700</v>
      </c>
      <c r="D521" s="279" t="s">
        <v>243</v>
      </c>
      <c r="E521" s="284">
        <f>E522</f>
        <v>1500</v>
      </c>
      <c r="F521" s="284">
        <f>F522</f>
        <v>800</v>
      </c>
      <c r="G521" s="285">
        <f t="shared" si="13"/>
        <v>0.53333333333333333</v>
      </c>
      <c r="I521" s="304"/>
    </row>
    <row r="522" spans="1:9" ht="24" customHeight="1">
      <c r="A522" s="528"/>
      <c r="B522" s="676"/>
      <c r="C522" s="658"/>
      <c r="D522" s="21" t="s">
        <v>758</v>
      </c>
      <c r="E522" s="284">
        <f>'ZSO Kom'!E180</f>
        <v>1500</v>
      </c>
      <c r="F522" s="284">
        <f>'ZSO Kom'!F180</f>
        <v>800</v>
      </c>
      <c r="G522" s="285">
        <f t="shared" si="13"/>
        <v>0.53333333333333333</v>
      </c>
      <c r="I522" s="304"/>
    </row>
    <row r="523" spans="1:9" ht="39.6" customHeight="1">
      <c r="A523" s="682" t="str">
        <f>'ZSO Kom'!A182:D182</f>
        <v>80152 Realizacja zadań wymagających stosowania specjalnej organizacji nauki i metod pracy dla dzieci i młodzieży w  gimnazjach i klasach dotychczasowego gimnazjum prowadzonych w innych typach szkół, liceach ogólnokształcących, technikach, branżowych szkołach I stopnia i klasach dotychczasowej zasadniczej szkoły zawodowej prowadzonych w branżowych szkołach I stopnia oraz  szkołach artystycznych : Razem</v>
      </c>
      <c r="B523" s="668"/>
      <c r="C523" s="668"/>
      <c r="D523" s="683"/>
      <c r="E523" s="291">
        <f>SUM(E507+E510+E513+E516+E521+E519)</f>
        <v>226420</v>
      </c>
      <c r="F523" s="291">
        <f>SUM(F507+F510+F513+F516+F521+F519)</f>
        <v>42990</v>
      </c>
      <c r="G523" s="292">
        <f t="shared" si="13"/>
        <v>0.18986838618496599</v>
      </c>
      <c r="I523" s="304"/>
    </row>
    <row r="524" spans="1:9" ht="17.25" customHeight="1">
      <c r="A524" s="93">
        <v>801</v>
      </c>
      <c r="B524" s="93">
        <v>80153</v>
      </c>
      <c r="C524" s="447">
        <v>4210</v>
      </c>
      <c r="D524" s="279" t="s">
        <v>274</v>
      </c>
      <c r="E524" s="82">
        <f>E525</f>
        <v>2310.36</v>
      </c>
      <c r="F524" s="82">
        <f>F525</f>
        <v>0</v>
      </c>
      <c r="G524" s="23">
        <f t="shared" si="13"/>
        <v>0</v>
      </c>
      <c r="I524" s="304"/>
    </row>
    <row r="525" spans="1:9" ht="16.5" customHeight="1">
      <c r="A525" s="452"/>
      <c r="B525" s="452"/>
      <c r="C525" s="453"/>
      <c r="D525" s="21" t="s">
        <v>689</v>
      </c>
      <c r="E525" s="82">
        <f>CUW!E127</f>
        <v>2310.36</v>
      </c>
      <c r="F525" s="82"/>
      <c r="G525" s="23">
        <f t="shared" si="13"/>
        <v>0</v>
      </c>
      <c r="I525" s="304"/>
    </row>
    <row r="526" spans="1:9" ht="21" customHeight="1">
      <c r="A526" s="452"/>
      <c r="B526" s="452"/>
      <c r="C526" s="287">
        <v>4240</v>
      </c>
      <c r="D526" s="279" t="s">
        <v>179</v>
      </c>
      <c r="E526" s="82">
        <f>SUM(E527:E535)</f>
        <v>230967.63999999998</v>
      </c>
      <c r="F526" s="82">
        <f>SUM(F527:F535)</f>
        <v>0</v>
      </c>
      <c r="G526" s="23">
        <f t="shared" si="13"/>
        <v>0</v>
      </c>
      <c r="I526" s="304"/>
    </row>
    <row r="527" spans="1:9" ht="20.25" customHeight="1">
      <c r="A527" s="452"/>
      <c r="B527" s="452"/>
      <c r="C527" s="448"/>
      <c r="D527" s="21" t="s">
        <v>690</v>
      </c>
      <c r="E527" s="82">
        <f>'ZSO Kom'!E184</f>
        <v>66339.899999999994</v>
      </c>
      <c r="F527" s="82">
        <f>'ZSO Kom'!F184</f>
        <v>0</v>
      </c>
      <c r="G527" s="23">
        <f t="shared" si="13"/>
        <v>0</v>
      </c>
      <c r="I527" s="304"/>
    </row>
    <row r="528" spans="1:9" ht="20.25" customHeight="1">
      <c r="A528" s="452"/>
      <c r="B528" s="452"/>
      <c r="C528" s="448"/>
      <c r="D528" s="21" t="s">
        <v>691</v>
      </c>
      <c r="E528" s="82">
        <f>'ZSO Kom'!E185</f>
        <v>2450.25</v>
      </c>
      <c r="F528" s="82">
        <f>'ZSO Kom'!F185</f>
        <v>0</v>
      </c>
      <c r="G528" s="23">
        <f t="shared" si="13"/>
        <v>0</v>
      </c>
      <c r="I528" s="304"/>
    </row>
    <row r="529" spans="1:9" ht="20.25" customHeight="1">
      <c r="A529" s="452"/>
      <c r="B529" s="452"/>
      <c r="C529" s="448"/>
      <c r="D529" s="21" t="s">
        <v>696</v>
      </c>
      <c r="E529" s="82">
        <f>'ZSO Kom'!E186</f>
        <v>423.28</v>
      </c>
      <c r="F529" s="82">
        <f>'ZSO Kom'!F186</f>
        <v>0</v>
      </c>
      <c r="G529" s="23">
        <f t="shared" si="13"/>
        <v>0</v>
      </c>
      <c r="I529" s="304"/>
    </row>
    <row r="530" spans="1:9" ht="17.25" customHeight="1">
      <c r="A530" s="452"/>
      <c r="B530" s="452"/>
      <c r="C530" s="448"/>
      <c r="D530" s="21" t="s">
        <v>692</v>
      </c>
      <c r="E530" s="82">
        <f>'ZS Mich'!E132</f>
        <v>96138.9</v>
      </c>
      <c r="F530" s="82">
        <f>'ZS Mich'!F132</f>
        <v>0</v>
      </c>
      <c r="G530" s="23">
        <f t="shared" si="13"/>
        <v>0</v>
      </c>
      <c r="I530" s="304"/>
    </row>
    <row r="531" spans="1:9" ht="18" customHeight="1">
      <c r="A531" s="452"/>
      <c r="B531" s="452"/>
      <c r="C531" s="448"/>
      <c r="D531" s="21" t="s">
        <v>693</v>
      </c>
      <c r="E531" s="82">
        <f>'ZS Mich'!E133</f>
        <v>1856.25</v>
      </c>
      <c r="F531" s="82">
        <f>'ZS Mich'!F133</f>
        <v>0</v>
      </c>
      <c r="G531" s="23">
        <f t="shared" si="13"/>
        <v>0</v>
      </c>
      <c r="I531" s="304"/>
    </row>
    <row r="532" spans="1:9" ht="18" customHeight="1">
      <c r="A532" s="452"/>
      <c r="B532" s="452"/>
      <c r="C532" s="448"/>
      <c r="D532" s="21" t="s">
        <v>697</v>
      </c>
      <c r="E532" s="82">
        <f>'ZS Mich'!E134</f>
        <v>311.16000000000003</v>
      </c>
      <c r="F532" s="82">
        <f>'ZS Mich'!F134</f>
        <v>0</v>
      </c>
      <c r="G532" s="23">
        <f t="shared" si="13"/>
        <v>0</v>
      </c>
      <c r="I532" s="304"/>
    </row>
    <row r="533" spans="1:9" ht="18" customHeight="1">
      <c r="A533" s="452"/>
      <c r="B533" s="452"/>
      <c r="C533" s="448"/>
      <c r="D533" s="21" t="s">
        <v>694</v>
      </c>
      <c r="E533" s="82">
        <f>'ZSP NW'!E190</f>
        <v>62092.800000000003</v>
      </c>
      <c r="F533" s="82">
        <f>'ZSP NW'!F190</f>
        <v>0</v>
      </c>
      <c r="G533" s="23">
        <f t="shared" si="13"/>
        <v>0</v>
      </c>
      <c r="I533" s="304"/>
    </row>
    <row r="534" spans="1:9" ht="18.75" customHeight="1">
      <c r="A534" s="452"/>
      <c r="B534" s="452"/>
      <c r="C534" s="448"/>
      <c r="D534" s="21" t="s">
        <v>695</v>
      </c>
      <c r="E534" s="82">
        <f>'ZSP NW'!E191</f>
        <v>1113.75</v>
      </c>
      <c r="F534" s="82">
        <f>'ZSP NW'!F191</f>
        <v>0</v>
      </c>
      <c r="G534" s="23">
        <f t="shared" si="13"/>
        <v>0</v>
      </c>
      <c r="I534" s="304"/>
    </row>
    <row r="535" spans="1:9" ht="18.75" customHeight="1">
      <c r="A535" s="453"/>
      <c r="B535" s="453"/>
      <c r="C535" s="449"/>
      <c r="D535" s="21" t="s">
        <v>698</v>
      </c>
      <c r="E535" s="82">
        <f>'ZSP NW'!E192</f>
        <v>241.35</v>
      </c>
      <c r="F535" s="82">
        <f>'ZSP NW'!F192</f>
        <v>0</v>
      </c>
      <c r="G535" s="23">
        <f t="shared" si="13"/>
        <v>0</v>
      </c>
      <c r="I535" s="304"/>
    </row>
    <row r="536" spans="1:9" ht="28.5" customHeight="1">
      <c r="A536" s="512" t="s">
        <v>699</v>
      </c>
      <c r="B536" s="684"/>
      <c r="C536" s="684"/>
      <c r="D536" s="685"/>
      <c r="E536" s="291">
        <f>E524+E526</f>
        <v>233277.99999999997</v>
      </c>
      <c r="F536" s="291">
        <f>F524+F526</f>
        <v>0</v>
      </c>
      <c r="G536" s="292">
        <f t="shared" si="13"/>
        <v>0</v>
      </c>
      <c r="I536" s="304"/>
    </row>
    <row r="537" spans="1:9" ht="17.25" customHeight="1">
      <c r="A537" s="679">
        <v>801</v>
      </c>
      <c r="B537" s="679">
        <v>80195</v>
      </c>
      <c r="C537" s="686">
        <v>3040</v>
      </c>
      <c r="D537" s="323" t="s">
        <v>476</v>
      </c>
      <c r="E537" s="81">
        <f>E539</f>
        <v>0</v>
      </c>
      <c r="F537" s="81">
        <f>F539+F538</f>
        <v>67260</v>
      </c>
      <c r="G537" s="19" t="e">
        <f t="shared" si="13"/>
        <v>#DIV/0!</v>
      </c>
      <c r="I537" s="304"/>
    </row>
    <row r="538" spans="1:9" ht="17.25" customHeight="1">
      <c r="A538" s="680"/>
      <c r="B538" s="680"/>
      <c r="C538" s="790"/>
      <c r="D538" s="146" t="s">
        <v>809</v>
      </c>
      <c r="E538" s="82">
        <f>CUW!E131</f>
        <v>0</v>
      </c>
      <c r="F538" s="82">
        <f>CUW!F131</f>
        <v>57260</v>
      </c>
      <c r="G538" s="23" t="e">
        <f t="shared" si="13"/>
        <v>#DIV/0!</v>
      </c>
      <c r="I538" s="304"/>
    </row>
    <row r="539" spans="1:9" ht="16.5" customHeight="1">
      <c r="A539" s="680"/>
      <c r="B539" s="680"/>
      <c r="C539" s="687"/>
      <c r="D539" s="146" t="s">
        <v>854</v>
      </c>
      <c r="E539" s="82">
        <f>CUW!E131</f>
        <v>0</v>
      </c>
      <c r="F539" s="82">
        <f>CUW!F132</f>
        <v>10000</v>
      </c>
      <c r="G539" s="23" t="e">
        <f t="shared" si="13"/>
        <v>#DIV/0!</v>
      </c>
      <c r="I539" s="304"/>
    </row>
    <row r="540" spans="1:9" ht="18" customHeight="1">
      <c r="A540" s="680"/>
      <c r="B540" s="680"/>
      <c r="C540" s="688">
        <v>4010</v>
      </c>
      <c r="D540" s="329" t="s">
        <v>348</v>
      </c>
      <c r="E540" s="330">
        <f>E541</f>
        <v>50776</v>
      </c>
      <c r="F540" s="330">
        <f>F541</f>
        <v>0</v>
      </c>
      <c r="G540" s="281">
        <f t="shared" si="13"/>
        <v>0</v>
      </c>
      <c r="I540" s="304"/>
    </row>
    <row r="541" spans="1:9" ht="18" customHeight="1">
      <c r="A541" s="680"/>
      <c r="B541" s="680"/>
      <c r="C541" s="689"/>
      <c r="D541" s="146" t="s">
        <v>809</v>
      </c>
      <c r="E541" s="332">
        <f>CUW!E133</f>
        <v>50776</v>
      </c>
      <c r="F541" s="332">
        <f>CUW!F133</f>
        <v>0</v>
      </c>
      <c r="G541" s="285">
        <f t="shared" si="13"/>
        <v>0</v>
      </c>
      <c r="I541" s="304"/>
    </row>
    <row r="542" spans="1:9" ht="18" customHeight="1">
      <c r="A542" s="680"/>
      <c r="B542" s="680"/>
      <c r="C542" s="690">
        <v>4110</v>
      </c>
      <c r="D542" s="279" t="s">
        <v>446</v>
      </c>
      <c r="E542" s="330">
        <f>E543</f>
        <v>10160</v>
      </c>
      <c r="F542" s="330">
        <f>F543</f>
        <v>0</v>
      </c>
      <c r="G542" s="281">
        <f t="shared" si="13"/>
        <v>0</v>
      </c>
      <c r="I542" s="304"/>
    </row>
    <row r="543" spans="1:9" ht="18" customHeight="1">
      <c r="A543" s="680"/>
      <c r="B543" s="680"/>
      <c r="C543" s="691"/>
      <c r="D543" s="283" t="s">
        <v>45</v>
      </c>
      <c r="E543" s="332">
        <f>CUW!E135</f>
        <v>10160</v>
      </c>
      <c r="F543" s="332">
        <f>CUW!F135</f>
        <v>0</v>
      </c>
      <c r="G543" s="285">
        <f t="shared" si="13"/>
        <v>0</v>
      </c>
      <c r="I543" s="304"/>
    </row>
    <row r="544" spans="1:9" ht="18" customHeight="1">
      <c r="A544" s="680"/>
      <c r="B544" s="680"/>
      <c r="C544" s="690">
        <v>4120</v>
      </c>
      <c r="D544" s="279" t="s">
        <v>301</v>
      </c>
      <c r="E544" s="330">
        <f>E545</f>
        <v>1373</v>
      </c>
      <c r="F544" s="330">
        <f>F545</f>
        <v>0</v>
      </c>
      <c r="G544" s="281">
        <f t="shared" si="13"/>
        <v>0</v>
      </c>
      <c r="I544" s="304"/>
    </row>
    <row r="545" spans="1:10" ht="18" customHeight="1">
      <c r="A545" s="680"/>
      <c r="B545" s="680"/>
      <c r="C545" s="691"/>
      <c r="D545" s="283" t="s">
        <v>46</v>
      </c>
      <c r="E545" s="332">
        <f>CUW!E137</f>
        <v>1373</v>
      </c>
      <c r="F545" s="332">
        <f>CUW!F137</f>
        <v>0</v>
      </c>
      <c r="G545" s="285">
        <f t="shared" si="13"/>
        <v>0</v>
      </c>
      <c r="I545" s="304"/>
    </row>
    <row r="546" spans="1:10" ht="21.75" customHeight="1">
      <c r="A546" s="680"/>
      <c r="B546" s="680"/>
      <c r="C546" s="690">
        <v>4170</v>
      </c>
      <c r="D546" s="279" t="s">
        <v>235</v>
      </c>
      <c r="E546" s="330">
        <f>E547</f>
        <v>5000</v>
      </c>
      <c r="F546" s="330">
        <f>F547</f>
        <v>5000</v>
      </c>
      <c r="G546" s="281">
        <f t="shared" si="13"/>
        <v>1</v>
      </c>
      <c r="I546" s="304"/>
    </row>
    <row r="547" spans="1:10" ht="20.25" customHeight="1">
      <c r="A547" s="681"/>
      <c r="B547" s="681"/>
      <c r="C547" s="691"/>
      <c r="D547" s="21" t="s">
        <v>747</v>
      </c>
      <c r="E547" s="332">
        <f>CUW!E139</f>
        <v>5000</v>
      </c>
      <c r="F547" s="332">
        <f>CUW!F139</f>
        <v>5000</v>
      </c>
      <c r="G547" s="285">
        <f t="shared" si="13"/>
        <v>1</v>
      </c>
      <c r="I547" s="304"/>
    </row>
    <row r="548" spans="1:10" ht="18.75" customHeight="1">
      <c r="A548" s="694" t="s">
        <v>679</v>
      </c>
      <c r="B548" s="684"/>
      <c r="C548" s="684"/>
      <c r="D548" s="685"/>
      <c r="E548" s="333">
        <f>E537+E540+E542+E544+E546</f>
        <v>67309</v>
      </c>
      <c r="F548" s="333">
        <f>F537+F540+F542+F544+F546</f>
        <v>72260</v>
      </c>
      <c r="G548" s="292">
        <f t="shared" si="13"/>
        <v>1.0735562851921734</v>
      </c>
      <c r="I548" s="304"/>
    </row>
    <row r="549" spans="1:10">
      <c r="A549" s="695" t="s">
        <v>49</v>
      </c>
      <c r="B549" s="696"/>
      <c r="C549" s="696"/>
      <c r="D549" s="696"/>
      <c r="E549" s="291">
        <f>SUM(E133+E183+E222+E291+E315+E394+E398+E438+E454+E485+E506+E523+E536+E548)</f>
        <v>36143865</v>
      </c>
      <c r="F549" s="291">
        <f>SUM(F133+F183+F222+F291+F315+F394+F398+F438+F454+F485+F506+F523+F536+F548)</f>
        <v>39133795</v>
      </c>
      <c r="G549" s="292">
        <f t="shared" ref="G549:G583" si="14">SUM(F549/E549)</f>
        <v>1.082723029205648</v>
      </c>
      <c r="H549" s="315"/>
      <c r="I549" s="298"/>
      <c r="J549" s="298"/>
    </row>
    <row r="550" spans="1:10">
      <c r="A550" s="287">
        <v>803</v>
      </c>
      <c r="B550" s="287">
        <v>80309</v>
      </c>
      <c r="C550" s="287">
        <v>3210</v>
      </c>
      <c r="D550" s="287" t="s">
        <v>334</v>
      </c>
      <c r="E550" s="280">
        <f>SUM(E551)</f>
        <v>53000</v>
      </c>
      <c r="F550" s="280">
        <f>SUM(F551)</f>
        <v>53000</v>
      </c>
      <c r="G550" s="281">
        <f t="shared" si="14"/>
        <v>1</v>
      </c>
    </row>
    <row r="551" spans="1:10">
      <c r="A551" s="289"/>
      <c r="B551" s="289"/>
      <c r="C551" s="289"/>
      <c r="D551" s="289" t="s">
        <v>74</v>
      </c>
      <c r="E551" s="284">
        <f>SUM(CUW!E144)</f>
        <v>53000</v>
      </c>
      <c r="F551" s="284">
        <f>SUM(CUW!F144)</f>
        <v>53000</v>
      </c>
      <c r="G551" s="285">
        <f t="shared" si="14"/>
        <v>1</v>
      </c>
    </row>
    <row r="552" spans="1:10" ht="16.5" customHeight="1">
      <c r="A552" s="659" t="s">
        <v>50</v>
      </c>
      <c r="B552" s="697"/>
      <c r="C552" s="697"/>
      <c r="D552" s="698"/>
      <c r="E552" s="291">
        <f>SUM(E550)</f>
        <v>53000</v>
      </c>
      <c r="F552" s="291">
        <f>SUM(F550)</f>
        <v>53000</v>
      </c>
      <c r="G552" s="292">
        <f t="shared" si="14"/>
        <v>1</v>
      </c>
    </row>
    <row r="553" spans="1:10" ht="15.75" customHeight="1">
      <c r="A553" s="311" t="s">
        <v>404</v>
      </c>
      <c r="B553" s="289"/>
      <c r="C553" s="289"/>
      <c r="D553" s="289"/>
      <c r="E553" s="291">
        <f>SUM(E552)</f>
        <v>53000</v>
      </c>
      <c r="F553" s="291">
        <f>SUM(F552)</f>
        <v>53000</v>
      </c>
      <c r="G553" s="292">
        <f t="shared" si="14"/>
        <v>1</v>
      </c>
      <c r="H553" s="315"/>
    </row>
    <row r="554" spans="1:10">
      <c r="A554" s="656">
        <v>854</v>
      </c>
      <c r="B554" s="656">
        <v>85401</v>
      </c>
      <c r="C554" s="287">
        <v>3020</v>
      </c>
      <c r="D554" s="279" t="s">
        <v>357</v>
      </c>
      <c r="E554" s="280">
        <f>SUM(E555:E557)</f>
        <v>179460</v>
      </c>
      <c r="F554" s="280">
        <f>SUM(F555:F557)</f>
        <v>127500</v>
      </c>
      <c r="G554" s="281">
        <f t="shared" si="14"/>
        <v>0.71046472751588097</v>
      </c>
    </row>
    <row r="555" spans="1:10" ht="21" customHeight="1">
      <c r="A555" s="657"/>
      <c r="B555" s="657"/>
      <c r="C555" s="289"/>
      <c r="D555" s="21" t="s">
        <v>804</v>
      </c>
      <c r="E555" s="284">
        <f>SUM('ZSO Kom'!E189)</f>
        <v>82500</v>
      </c>
      <c r="F555" s="284">
        <f>SUM('ZSO Kom'!F189)</f>
        <v>57500</v>
      </c>
      <c r="G555" s="285">
        <f t="shared" si="14"/>
        <v>0.69696969696969702</v>
      </c>
    </row>
    <row r="556" spans="1:10" ht="22.5" customHeight="1">
      <c r="A556" s="657"/>
      <c r="B556" s="657"/>
      <c r="C556" s="289"/>
      <c r="D556" s="21" t="s">
        <v>805</v>
      </c>
      <c r="E556" s="284">
        <f>SUM('ZS Mich'!E137)</f>
        <v>51000</v>
      </c>
      <c r="F556" s="284">
        <f>SUM('ZS Mich'!F137)</f>
        <v>45000</v>
      </c>
      <c r="G556" s="285">
        <f t="shared" si="14"/>
        <v>0.88235294117647056</v>
      </c>
    </row>
    <row r="557" spans="1:10" ht="18.75" customHeight="1">
      <c r="A557" s="657"/>
      <c r="B557" s="657"/>
      <c r="C557" s="289"/>
      <c r="D557" s="21" t="s">
        <v>806</v>
      </c>
      <c r="E557" s="284">
        <f>SUM('ZSP NW'!E195)</f>
        <v>45960</v>
      </c>
      <c r="F557" s="284">
        <f>SUM('ZSP NW'!F195)</f>
        <v>25000</v>
      </c>
      <c r="G557" s="285">
        <f t="shared" si="14"/>
        <v>0.54395126196692778</v>
      </c>
    </row>
    <row r="558" spans="1:10" ht="18" customHeight="1">
      <c r="A558" s="657"/>
      <c r="B558" s="657"/>
      <c r="C558" s="287">
        <v>4010</v>
      </c>
      <c r="D558" s="279" t="s">
        <v>348</v>
      </c>
      <c r="E558" s="280">
        <f>SUM(E559:E563)</f>
        <v>1338690</v>
      </c>
      <c r="F558" s="280">
        <f>SUM(F559:F563)</f>
        <v>1474000</v>
      </c>
      <c r="G558" s="281">
        <f t="shared" si="14"/>
        <v>1.1010764254607115</v>
      </c>
    </row>
    <row r="559" spans="1:10" ht="30" customHeight="1">
      <c r="A559" s="657"/>
      <c r="B559" s="657"/>
      <c r="C559" s="289"/>
      <c r="D559" s="283" t="s">
        <v>578</v>
      </c>
      <c r="E559" s="284">
        <f>SUM('ZSO Kom'!E192)</f>
        <v>516550</v>
      </c>
      <c r="F559" s="284">
        <f>SUM('ZSO Kom'!F192)</f>
        <v>574000</v>
      </c>
      <c r="G559" s="285">
        <f t="shared" si="14"/>
        <v>1.1112186622785791</v>
      </c>
    </row>
    <row r="560" spans="1:10" ht="18.75" customHeight="1">
      <c r="A560" s="657"/>
      <c r="B560" s="657"/>
      <c r="C560" s="289"/>
      <c r="D560" s="283" t="str">
        <f>'ZSO Kom'!D193</f>
        <v xml:space="preserve">nagrody jubileuszowe </v>
      </c>
      <c r="E560" s="284">
        <f>SUM('ZSO Kom'!E193)</f>
        <v>15300</v>
      </c>
      <c r="F560" s="284">
        <f>SUM('ZSO Kom'!F193)</f>
        <v>0</v>
      </c>
      <c r="G560" s="285">
        <f t="shared" si="14"/>
        <v>0</v>
      </c>
    </row>
    <row r="561" spans="1:7" ht="29.25" customHeight="1">
      <c r="A561" s="657"/>
      <c r="B561" s="657"/>
      <c r="C561" s="289"/>
      <c r="D561" s="283" t="s">
        <v>192</v>
      </c>
      <c r="E561" s="284">
        <f>SUM('ZS Mich'!E140)</f>
        <v>474510</v>
      </c>
      <c r="F561" s="284">
        <f>SUM('ZS Mich'!F140)</f>
        <v>566500</v>
      </c>
      <c r="G561" s="285">
        <f t="shared" si="14"/>
        <v>1.193863143031759</v>
      </c>
    </row>
    <row r="562" spans="1:7" ht="19.5" customHeight="1">
      <c r="A562" s="657"/>
      <c r="B562" s="657"/>
      <c r="C562" s="289"/>
      <c r="D562" s="283" t="str">
        <f>'ZS Mich'!D141</f>
        <v>odprawa emerytalna (1)</v>
      </c>
      <c r="E562" s="284">
        <f>'ZS Mich'!E141</f>
        <v>0</v>
      </c>
      <c r="F562" s="284">
        <f>'ZS Mich'!F141</f>
        <v>13500</v>
      </c>
      <c r="G562" s="285" t="e">
        <f t="shared" si="14"/>
        <v>#DIV/0!</v>
      </c>
    </row>
    <row r="563" spans="1:7" ht="30.75" customHeight="1">
      <c r="A563" s="657"/>
      <c r="B563" s="657"/>
      <c r="C563" s="289"/>
      <c r="D563" s="283" t="s">
        <v>193</v>
      </c>
      <c r="E563" s="284">
        <f>SUM('ZSP NW'!E199)</f>
        <v>332330</v>
      </c>
      <c r="F563" s="284">
        <f>SUM('ZSP NW'!F199)</f>
        <v>320000</v>
      </c>
      <c r="G563" s="285">
        <f t="shared" si="14"/>
        <v>0.96289832395510488</v>
      </c>
    </row>
    <row r="564" spans="1:7">
      <c r="A564" s="657"/>
      <c r="B564" s="657"/>
      <c r="C564" s="287">
        <v>4040</v>
      </c>
      <c r="D564" s="279" t="s">
        <v>349</v>
      </c>
      <c r="E564" s="280">
        <f>SUM(E565:E567)</f>
        <v>84800</v>
      </c>
      <c r="F564" s="280">
        <f>SUM(F565:F567)</f>
        <v>102500</v>
      </c>
      <c r="G564" s="281">
        <f t="shared" si="14"/>
        <v>1.2087264150943395</v>
      </c>
    </row>
    <row r="565" spans="1:7" ht="30" customHeight="1">
      <c r="A565" s="657"/>
      <c r="B565" s="657"/>
      <c r="C565" s="289"/>
      <c r="D565" s="283" t="s">
        <v>343</v>
      </c>
      <c r="E565" s="284">
        <f>SUM('ZSO Kom'!E194)</f>
        <v>30400</v>
      </c>
      <c r="F565" s="284">
        <f>SUM('ZSO Kom'!F194)</f>
        <v>36000</v>
      </c>
      <c r="G565" s="285">
        <f t="shared" si="14"/>
        <v>1.1842105263157894</v>
      </c>
    </row>
    <row r="566" spans="1:7" ht="30.75" customHeight="1">
      <c r="A566" s="657"/>
      <c r="B566" s="657"/>
      <c r="C566" s="289"/>
      <c r="D566" s="283" t="s">
        <v>341</v>
      </c>
      <c r="E566" s="284">
        <f>SUM('ZS Mich'!E142)</f>
        <v>31400</v>
      </c>
      <c r="F566" s="284">
        <f>SUM('ZS Mich'!F142)</f>
        <v>39000</v>
      </c>
      <c r="G566" s="285">
        <f t="shared" si="14"/>
        <v>1.2420382165605095</v>
      </c>
    </row>
    <row r="567" spans="1:7" ht="30" customHeight="1">
      <c r="A567" s="657"/>
      <c r="B567" s="657"/>
      <c r="C567" s="289"/>
      <c r="D567" s="283" t="s">
        <v>67</v>
      </c>
      <c r="E567" s="284">
        <f>SUM('ZSP NW'!E200)</f>
        <v>23000</v>
      </c>
      <c r="F567" s="284">
        <f>SUM('ZSP NW'!F200)</f>
        <v>27500</v>
      </c>
      <c r="G567" s="285">
        <f t="shared" si="14"/>
        <v>1.1956521739130435</v>
      </c>
    </row>
    <row r="568" spans="1:7">
      <c r="A568" s="657"/>
      <c r="B568" s="657"/>
      <c r="C568" s="287">
        <v>4110</v>
      </c>
      <c r="D568" s="279" t="s">
        <v>446</v>
      </c>
      <c r="E568" s="280">
        <f>SUM(E569:E571)</f>
        <v>284380</v>
      </c>
      <c r="F568" s="280">
        <f>SUM(F569:F571)</f>
        <v>304000</v>
      </c>
      <c r="G568" s="281">
        <f t="shared" si="14"/>
        <v>1.0689921935438498</v>
      </c>
    </row>
    <row r="569" spans="1:7">
      <c r="A569" s="657"/>
      <c r="B569" s="657"/>
      <c r="C569" s="289"/>
      <c r="D569" s="283" t="s">
        <v>68</v>
      </c>
      <c r="E569" s="284">
        <f>SUM('ZSO Kom'!E195)</f>
        <v>112150</v>
      </c>
      <c r="F569" s="284">
        <f>SUM('ZSO Kom'!F195)</f>
        <v>120000</v>
      </c>
      <c r="G569" s="285">
        <f t="shared" si="14"/>
        <v>1.0699955416852429</v>
      </c>
    </row>
    <row r="570" spans="1:7">
      <c r="A570" s="657"/>
      <c r="B570" s="657"/>
      <c r="C570" s="289"/>
      <c r="D570" s="283" t="s">
        <v>463</v>
      </c>
      <c r="E570" s="284">
        <f>SUM('ZS Mich'!E143)</f>
        <v>101220</v>
      </c>
      <c r="F570" s="284">
        <f>SUM('ZS Mich'!F143)</f>
        <v>118000</v>
      </c>
      <c r="G570" s="285">
        <f t="shared" si="14"/>
        <v>1.1657775143252322</v>
      </c>
    </row>
    <row r="571" spans="1:7">
      <c r="A571" s="657"/>
      <c r="B571" s="657"/>
      <c r="C571" s="289"/>
      <c r="D571" s="283" t="s">
        <v>76</v>
      </c>
      <c r="E571" s="284">
        <f>SUM('ZSP NW'!E201)</f>
        <v>71010</v>
      </c>
      <c r="F571" s="284">
        <f>SUM('ZSP NW'!F201)</f>
        <v>66000</v>
      </c>
      <c r="G571" s="285">
        <f t="shared" si="14"/>
        <v>0.92944655682298272</v>
      </c>
    </row>
    <row r="572" spans="1:7">
      <c r="A572" s="657"/>
      <c r="B572" s="657"/>
      <c r="C572" s="287">
        <v>4120</v>
      </c>
      <c r="D572" s="279" t="s">
        <v>301</v>
      </c>
      <c r="E572" s="280">
        <f>SUM(E573:E575)</f>
        <v>34945</v>
      </c>
      <c r="F572" s="280">
        <f>SUM(F573:F575)</f>
        <v>37000</v>
      </c>
      <c r="G572" s="281">
        <f t="shared" si="14"/>
        <v>1.0588066962369438</v>
      </c>
    </row>
    <row r="573" spans="1:7">
      <c r="A573" s="657"/>
      <c r="B573" s="657"/>
      <c r="C573" s="289"/>
      <c r="D573" s="283" t="s">
        <v>372</v>
      </c>
      <c r="E573" s="284">
        <f>SUM('ZSO Kom'!E196)</f>
        <v>13240</v>
      </c>
      <c r="F573" s="284">
        <f>SUM('ZSO Kom'!F196)</f>
        <v>14000</v>
      </c>
      <c r="G573" s="285">
        <f t="shared" si="14"/>
        <v>1.0574018126888218</v>
      </c>
    </row>
    <row r="574" spans="1:7">
      <c r="A574" s="657"/>
      <c r="B574" s="657"/>
      <c r="C574" s="289"/>
      <c r="D574" s="283" t="s">
        <v>195</v>
      </c>
      <c r="E574" s="284">
        <f>SUM('ZS Mich'!E144)</f>
        <v>12380</v>
      </c>
      <c r="F574" s="284">
        <f>SUM('ZS Mich'!F144)</f>
        <v>14500</v>
      </c>
      <c r="G574" s="285">
        <f t="shared" si="14"/>
        <v>1.1712439418416802</v>
      </c>
    </row>
    <row r="575" spans="1:7">
      <c r="A575" s="657"/>
      <c r="B575" s="657"/>
      <c r="C575" s="289"/>
      <c r="D575" s="283" t="s">
        <v>75</v>
      </c>
      <c r="E575" s="284">
        <f>SUM('ZSP NW'!E202)</f>
        <v>9325</v>
      </c>
      <c r="F575" s="284">
        <f>SUM('ZSP NW'!F202)</f>
        <v>8500</v>
      </c>
      <c r="G575" s="285">
        <f t="shared" si="14"/>
        <v>0.91152815013404831</v>
      </c>
    </row>
    <row r="576" spans="1:7">
      <c r="A576" s="657"/>
      <c r="B576" s="657"/>
      <c r="C576" s="287">
        <v>4210</v>
      </c>
      <c r="D576" s="279" t="s">
        <v>274</v>
      </c>
      <c r="E576" s="280">
        <f>SUM(E577:E579)</f>
        <v>3500</v>
      </c>
      <c r="F576" s="280">
        <f>SUM(F577:F579)</f>
        <v>8000</v>
      </c>
      <c r="G576" s="281">
        <f t="shared" si="14"/>
        <v>2.2857142857142856</v>
      </c>
    </row>
    <row r="577" spans="1:7" ht="18.75" customHeight="1">
      <c r="A577" s="657"/>
      <c r="B577" s="657"/>
      <c r="C577" s="289"/>
      <c r="D577" s="283" t="s">
        <v>1</v>
      </c>
      <c r="E577" s="284">
        <f>SUM('ZSO Kom'!E198)</f>
        <v>1500</v>
      </c>
      <c r="F577" s="284">
        <f>SUM('ZSO Kom'!F198)</f>
        <v>1000</v>
      </c>
      <c r="G577" s="285">
        <f t="shared" si="14"/>
        <v>0.66666666666666663</v>
      </c>
    </row>
    <row r="578" spans="1:7" ht="18.75" customHeight="1">
      <c r="A578" s="657"/>
      <c r="B578" s="657"/>
      <c r="C578" s="289"/>
      <c r="D578" s="283" t="s">
        <v>2</v>
      </c>
      <c r="E578" s="284">
        <f>SUM('ZS Mich'!E146)</f>
        <v>2000</v>
      </c>
      <c r="F578" s="284">
        <f>SUM('ZS Mich'!F146)</f>
        <v>2000</v>
      </c>
      <c r="G578" s="285">
        <f t="shared" si="14"/>
        <v>1</v>
      </c>
    </row>
    <row r="579" spans="1:7" ht="30" hidden="1" customHeight="1">
      <c r="A579" s="657"/>
      <c r="B579" s="657"/>
      <c r="C579" s="289"/>
      <c r="D579" s="283" t="s">
        <v>428</v>
      </c>
      <c r="E579" s="284">
        <f>SUM('ZSP NW'!E204)</f>
        <v>0</v>
      </c>
      <c r="F579" s="284">
        <f>SUM('ZSP NW'!F204)</f>
        <v>5000</v>
      </c>
      <c r="G579" s="285" t="e">
        <f t="shared" si="14"/>
        <v>#DIV/0!</v>
      </c>
    </row>
    <row r="580" spans="1:7">
      <c r="A580" s="657"/>
      <c r="B580" s="657"/>
      <c r="C580" s="287">
        <v>4220</v>
      </c>
      <c r="D580" s="283" t="s">
        <v>492</v>
      </c>
      <c r="E580" s="284">
        <f>E581</f>
        <v>2000</v>
      </c>
      <c r="F580" s="284">
        <f>F581</f>
        <v>2000</v>
      </c>
      <c r="G580" s="285">
        <f t="shared" si="14"/>
        <v>1</v>
      </c>
    </row>
    <row r="581" spans="1:7">
      <c r="A581" s="657"/>
      <c r="B581" s="657"/>
      <c r="C581" s="287"/>
      <c r="D581" s="283" t="s">
        <v>630</v>
      </c>
      <c r="E581" s="284">
        <f>'ZS Mich'!E147</f>
        <v>2000</v>
      </c>
      <c r="F581" s="284">
        <f>'ZS Mich'!F147</f>
        <v>2000</v>
      </c>
      <c r="G581" s="285">
        <f t="shared" si="14"/>
        <v>1</v>
      </c>
    </row>
    <row r="582" spans="1:7">
      <c r="A582" s="657"/>
      <c r="B582" s="657"/>
      <c r="C582" s="287">
        <v>4240</v>
      </c>
      <c r="D582" s="279" t="s">
        <v>179</v>
      </c>
      <c r="E582" s="280">
        <f>SUM(E583:E585)</f>
        <v>7100</v>
      </c>
      <c r="F582" s="280">
        <f>SUM(F583:F585)</f>
        <v>17100</v>
      </c>
      <c r="G582" s="281">
        <f t="shared" si="14"/>
        <v>2.408450704225352</v>
      </c>
    </row>
    <row r="583" spans="1:7" ht="19.5" customHeight="1">
      <c r="A583" s="657"/>
      <c r="B583" s="657"/>
      <c r="C583" s="289"/>
      <c r="D583" s="283" t="s">
        <v>342</v>
      </c>
      <c r="E583" s="284">
        <f>SUM('ZSO Kom'!E199)</f>
        <v>3000</v>
      </c>
      <c r="F583" s="284">
        <f>SUM('ZSO Kom'!F199)</f>
        <v>3000</v>
      </c>
      <c r="G583" s="285">
        <f t="shared" si="14"/>
        <v>1</v>
      </c>
    </row>
    <row r="584" spans="1:7" ht="19.5" customHeight="1">
      <c r="A584" s="657"/>
      <c r="B584" s="657"/>
      <c r="C584" s="289"/>
      <c r="D584" s="283" t="s">
        <v>59</v>
      </c>
      <c r="E584" s="284">
        <f>SUM('ZS Mich'!E148)</f>
        <v>4100</v>
      </c>
      <c r="F584" s="284">
        <f>SUM('ZS Mich'!F148)</f>
        <v>4100</v>
      </c>
      <c r="G584" s="285">
        <f t="shared" ref="G584:G661" si="15">SUM(F584/E584)</f>
        <v>1</v>
      </c>
    </row>
    <row r="585" spans="1:7" ht="15" hidden="1" customHeight="1">
      <c r="A585" s="657"/>
      <c r="B585" s="657"/>
      <c r="C585" s="289"/>
      <c r="D585" s="283" t="s">
        <v>178</v>
      </c>
      <c r="E585" s="284">
        <f>SUM('ZSP NW'!E205)</f>
        <v>0</v>
      </c>
      <c r="F585" s="284">
        <f>SUM('ZSP NW'!F205)</f>
        <v>10000</v>
      </c>
      <c r="G585" s="285" t="e">
        <f t="shared" si="15"/>
        <v>#DIV/0!</v>
      </c>
    </row>
    <row r="586" spans="1:7">
      <c r="A586" s="657"/>
      <c r="B586" s="657"/>
      <c r="C586" s="287">
        <v>4300</v>
      </c>
      <c r="D586" s="279" t="s">
        <v>100</v>
      </c>
      <c r="E586" s="280">
        <f>SUM(E587:E589)</f>
        <v>100</v>
      </c>
      <c r="F586" s="280">
        <f>SUM(F587:F589)</f>
        <v>100</v>
      </c>
      <c r="G586" s="281">
        <f t="shared" si="15"/>
        <v>1</v>
      </c>
    </row>
    <row r="587" spans="1:7" ht="18" customHeight="1">
      <c r="A587" s="657"/>
      <c r="B587" s="657"/>
      <c r="C587" s="289"/>
      <c r="D587" s="283" t="s">
        <v>353</v>
      </c>
      <c r="E587" s="284">
        <f>'ZSO Kom'!E201</f>
        <v>100</v>
      </c>
      <c r="F587" s="284">
        <f>'ZSO Kom'!F201</f>
        <v>100</v>
      </c>
      <c r="G587" s="285">
        <f t="shared" si="15"/>
        <v>1</v>
      </c>
    </row>
    <row r="588" spans="1:7" ht="16.5" hidden="1" customHeight="1">
      <c r="A588" s="657"/>
      <c r="B588" s="657"/>
      <c r="C588" s="289"/>
      <c r="D588" s="283" t="s">
        <v>212</v>
      </c>
      <c r="E588" s="284">
        <f>'ZS Mich'!E149</f>
        <v>0</v>
      </c>
      <c r="F588" s="284">
        <f>'ZS Mich'!F149</f>
        <v>0</v>
      </c>
      <c r="G588" s="285" t="e">
        <f t="shared" si="15"/>
        <v>#DIV/0!</v>
      </c>
    </row>
    <row r="589" spans="1:7" ht="1.9" hidden="1" customHeight="1">
      <c r="A589" s="657"/>
      <c r="B589" s="657"/>
      <c r="C589" s="289"/>
      <c r="D589" s="283" t="s">
        <v>214</v>
      </c>
      <c r="E589" s="284">
        <f>'ZSP NW'!E206</f>
        <v>0</v>
      </c>
      <c r="F589" s="284">
        <f>'ZSP NW'!F206</f>
        <v>0</v>
      </c>
      <c r="G589" s="285" t="e">
        <f t="shared" si="15"/>
        <v>#DIV/0!</v>
      </c>
    </row>
    <row r="590" spans="1:7">
      <c r="A590" s="657"/>
      <c r="B590" s="657"/>
      <c r="C590" s="287">
        <v>4440</v>
      </c>
      <c r="D590" s="279" t="s">
        <v>317</v>
      </c>
      <c r="E590" s="280">
        <f>SUM(E591:E593)</f>
        <v>85582</v>
      </c>
      <c r="F590" s="280">
        <f>SUM(F591:F593)</f>
        <v>98065</v>
      </c>
      <c r="G590" s="281">
        <f t="shared" si="15"/>
        <v>1.1458601107709565</v>
      </c>
    </row>
    <row r="591" spans="1:7" ht="31.5" customHeight="1">
      <c r="A591" s="657"/>
      <c r="B591" s="657"/>
      <c r="C591" s="289"/>
      <c r="D591" s="283" t="s">
        <v>141</v>
      </c>
      <c r="E591" s="284">
        <f>SUM('ZSO Kom'!E202)</f>
        <v>38044</v>
      </c>
      <c r="F591" s="284">
        <f>SUM('ZSO Kom'!F202)</f>
        <v>38843</v>
      </c>
      <c r="G591" s="285">
        <f t="shared" si="15"/>
        <v>1.0210019976868889</v>
      </c>
    </row>
    <row r="592" spans="1:7" ht="32.25" customHeight="1">
      <c r="A592" s="657"/>
      <c r="B592" s="657"/>
      <c r="C592" s="289"/>
      <c r="D592" s="283" t="s">
        <v>142</v>
      </c>
      <c r="E592" s="284">
        <f>SUM('ZS Mich'!E151)</f>
        <v>26428</v>
      </c>
      <c r="F592" s="284">
        <f>SUM('ZS Mich'!F151)</f>
        <v>36416</v>
      </c>
      <c r="G592" s="285">
        <f t="shared" si="15"/>
        <v>1.3779324958377479</v>
      </c>
    </row>
    <row r="593" spans="1:12" ht="28.5" customHeight="1">
      <c r="A593" s="658"/>
      <c r="B593" s="658"/>
      <c r="C593" s="289"/>
      <c r="D593" s="283" t="s">
        <v>228</v>
      </c>
      <c r="E593" s="284">
        <f>SUM('ZSP NW'!E208)</f>
        <v>21110</v>
      </c>
      <c r="F593" s="284">
        <f>SUM('ZSP NW'!F208)</f>
        <v>22806</v>
      </c>
      <c r="G593" s="285">
        <f t="shared" si="15"/>
        <v>1.0803410705826622</v>
      </c>
    </row>
    <row r="594" spans="1:12" ht="14.25" customHeight="1">
      <c r="A594" s="699" t="s">
        <v>47</v>
      </c>
      <c r="B594" s="697"/>
      <c r="C594" s="697"/>
      <c r="D594" s="661"/>
      <c r="E594" s="291">
        <f>SUM(E554+E558+E564+E568+E572+E576+E580+E582+E586+E590)</f>
        <v>2020557</v>
      </c>
      <c r="F594" s="291">
        <f>SUM(F554+F558+F564+F568+F572+F576+F580+F582+F586+F590)</f>
        <v>2170265</v>
      </c>
      <c r="G594" s="292">
        <f t="shared" si="15"/>
        <v>1.0740924408467567</v>
      </c>
      <c r="I594" s="304"/>
    </row>
    <row r="595" spans="1:12" ht="14.25" customHeight="1">
      <c r="A595" s="334">
        <v>854</v>
      </c>
      <c r="B595" s="770">
        <v>85404</v>
      </c>
      <c r="C595" s="335">
        <v>2540</v>
      </c>
      <c r="D595" s="323" t="s">
        <v>415</v>
      </c>
      <c r="E595" s="280">
        <f>SUM(E596:E603)</f>
        <v>200611</v>
      </c>
      <c r="F595" s="280">
        <f>SUM(F596:F603)</f>
        <v>285480</v>
      </c>
      <c r="G595" s="303">
        <f t="shared" si="15"/>
        <v>1.4230525743852531</v>
      </c>
      <c r="I595" s="304"/>
    </row>
    <row r="596" spans="1:12" ht="14.25" customHeight="1">
      <c r="A596" s="336"/>
      <c r="B596" s="786"/>
      <c r="C596" s="770"/>
      <c r="D596" s="161" t="s">
        <v>680</v>
      </c>
      <c r="E596" s="284">
        <f>CUW!E148</f>
        <v>27149</v>
      </c>
      <c r="F596" s="284">
        <f>CUW!F148</f>
        <v>46800</v>
      </c>
      <c r="G596" s="285">
        <f t="shared" si="15"/>
        <v>1.7238203985413827</v>
      </c>
      <c r="I596" s="304"/>
    </row>
    <row r="597" spans="1:12" ht="14.25" customHeight="1">
      <c r="A597" s="336"/>
      <c r="B597" s="786"/>
      <c r="C597" s="786"/>
      <c r="D597" s="161" t="s">
        <v>681</v>
      </c>
      <c r="E597" s="284">
        <f>CUW!E149</f>
        <v>27149</v>
      </c>
      <c r="F597" s="284">
        <f>CUW!F149</f>
        <v>46800</v>
      </c>
      <c r="G597" s="285">
        <f t="shared" si="15"/>
        <v>1.7238203985413827</v>
      </c>
      <c r="I597" s="304"/>
    </row>
    <row r="598" spans="1:12" ht="14.25" customHeight="1">
      <c r="A598" s="336"/>
      <c r="B598" s="786"/>
      <c r="C598" s="786"/>
      <c r="D598" s="295" t="s">
        <v>91</v>
      </c>
      <c r="E598" s="284">
        <f>CUW!E150</f>
        <v>67871</v>
      </c>
      <c r="F598" s="284">
        <f>CUW!F150</f>
        <v>60840</v>
      </c>
      <c r="G598" s="285">
        <f t="shared" si="15"/>
        <v>0.89640641805778609</v>
      </c>
      <c r="I598" s="304"/>
    </row>
    <row r="599" spans="1:12" ht="14.25" customHeight="1">
      <c r="A599" s="336"/>
      <c r="B599" s="786"/>
      <c r="C599" s="786"/>
      <c r="D599" s="295" t="s">
        <v>82</v>
      </c>
      <c r="E599" s="284">
        <f>CUW!E151</f>
        <v>23599</v>
      </c>
      <c r="F599" s="284">
        <f>CUW!F151</f>
        <v>93600</v>
      </c>
      <c r="G599" s="285">
        <f t="shared" si="15"/>
        <v>3.9662697571931016</v>
      </c>
      <c r="I599" s="304"/>
    </row>
    <row r="600" spans="1:12" ht="14.25" customHeight="1">
      <c r="A600" s="336"/>
      <c r="B600" s="786"/>
      <c r="C600" s="786"/>
      <c r="D600" s="295" t="s">
        <v>607</v>
      </c>
      <c r="E600" s="284">
        <f>CUW!E152</f>
        <v>45248</v>
      </c>
      <c r="F600" s="284">
        <f>CUW!F152</f>
        <v>32760</v>
      </c>
      <c r="G600" s="285">
        <f t="shared" si="15"/>
        <v>0.72400990099009899</v>
      </c>
      <c r="I600" s="304"/>
    </row>
    <row r="601" spans="1:12" ht="14.25" customHeight="1">
      <c r="A601" s="336"/>
      <c r="B601" s="786"/>
      <c r="C601" s="786"/>
      <c r="D601" s="290" t="s">
        <v>417</v>
      </c>
      <c r="E601" s="284">
        <f>CUW!E153</f>
        <v>4525</v>
      </c>
      <c r="F601" s="284">
        <f>CUW!F153</f>
        <v>0</v>
      </c>
      <c r="G601" s="285">
        <f t="shared" si="15"/>
        <v>0</v>
      </c>
      <c r="I601" s="304"/>
    </row>
    <row r="602" spans="1:12" ht="14.25" customHeight="1">
      <c r="A602" s="336"/>
      <c r="B602" s="786"/>
      <c r="C602" s="786"/>
      <c r="D602" s="36" t="s">
        <v>703</v>
      </c>
      <c r="E602" s="284">
        <f>CUW!E154</f>
        <v>3070</v>
      </c>
      <c r="F602" s="284">
        <f>CUW!F154</f>
        <v>0</v>
      </c>
      <c r="G602" s="285">
        <f t="shared" si="15"/>
        <v>0</v>
      </c>
      <c r="I602" s="304"/>
    </row>
    <row r="603" spans="1:12" ht="14.25" customHeight="1">
      <c r="A603" s="305"/>
      <c r="B603" s="771"/>
      <c r="C603" s="771"/>
      <c r="D603" s="36" t="s">
        <v>704</v>
      </c>
      <c r="E603" s="284">
        <f>CUW!E155</f>
        <v>2000</v>
      </c>
      <c r="F603" s="284">
        <f>CUW!F155</f>
        <v>4680</v>
      </c>
      <c r="G603" s="285">
        <f t="shared" si="15"/>
        <v>2.34</v>
      </c>
      <c r="I603" s="304"/>
    </row>
    <row r="604" spans="1:12" ht="14.25" customHeight="1">
      <c r="A604" s="796" t="s">
        <v>531</v>
      </c>
      <c r="B604" s="697"/>
      <c r="C604" s="697"/>
      <c r="D604" s="661"/>
      <c r="E604" s="291">
        <f>E595</f>
        <v>200611</v>
      </c>
      <c r="F604" s="291">
        <f>F595</f>
        <v>285480</v>
      </c>
      <c r="G604" s="292">
        <f t="shared" si="15"/>
        <v>1.4230525743852531</v>
      </c>
      <c r="I604" s="304"/>
    </row>
    <row r="605" spans="1:12" ht="18" customHeight="1">
      <c r="A605" s="656">
        <v>854</v>
      </c>
      <c r="B605" s="656">
        <v>85412</v>
      </c>
      <c r="C605" s="287">
        <v>4110</v>
      </c>
      <c r="D605" s="279" t="s">
        <v>446</v>
      </c>
      <c r="E605" s="280">
        <f>SUM(E606:E607)</f>
        <v>103</v>
      </c>
      <c r="F605" s="280">
        <f>SUM(F606:F607)</f>
        <v>100</v>
      </c>
      <c r="G605" s="281">
        <f t="shared" si="15"/>
        <v>0.970873786407767</v>
      </c>
    </row>
    <row r="606" spans="1:12" ht="16.899999999999999" hidden="1" customHeight="1">
      <c r="A606" s="657"/>
      <c r="B606" s="657"/>
      <c r="C606" s="337"/>
      <c r="D606" s="338" t="s">
        <v>163</v>
      </c>
      <c r="E606" s="284">
        <f>SUM('ZS Mich'!E154)</f>
        <v>0</v>
      </c>
      <c r="F606" s="284">
        <f>SUM('ZS Mich'!F154)</f>
        <v>0</v>
      </c>
      <c r="G606" s="285" t="e">
        <f t="shared" si="15"/>
        <v>#DIV/0!</v>
      </c>
    </row>
    <row r="607" spans="1:12" ht="17.25" customHeight="1">
      <c r="A607" s="657"/>
      <c r="B607" s="657"/>
      <c r="C607" s="337"/>
      <c r="D607" s="339" t="s">
        <v>164</v>
      </c>
      <c r="E607" s="284">
        <f>'ZSO Kom'!E205</f>
        <v>103</v>
      </c>
      <c r="F607" s="284">
        <f>'ZSO Kom'!F205</f>
        <v>100</v>
      </c>
      <c r="G607" s="285">
        <f t="shared" si="15"/>
        <v>0.970873786407767</v>
      </c>
      <c r="H607" s="692"/>
      <c r="I607" s="693"/>
      <c r="J607" s="693"/>
      <c r="K607" s="693"/>
      <c r="L607" s="693"/>
    </row>
    <row r="608" spans="1:12" ht="17.25" customHeight="1">
      <c r="A608" s="657"/>
      <c r="B608" s="657"/>
      <c r="C608" s="287">
        <v>4120</v>
      </c>
      <c r="D608" s="279" t="s">
        <v>301</v>
      </c>
      <c r="E608" s="284">
        <f>SUM(E609:E610)</f>
        <v>15</v>
      </c>
      <c r="F608" s="284">
        <f>SUM(F609:F610)</f>
        <v>15</v>
      </c>
      <c r="G608" s="285">
        <f t="shared" si="15"/>
        <v>1</v>
      </c>
      <c r="H608" s="456"/>
      <c r="I608" s="457"/>
      <c r="J608" s="457"/>
      <c r="K608" s="457"/>
      <c r="L608" s="457"/>
    </row>
    <row r="609" spans="1:12" ht="17.25" hidden="1" customHeight="1">
      <c r="A609" s="657"/>
      <c r="B609" s="657"/>
      <c r="C609" s="337"/>
      <c r="D609" s="338" t="s">
        <v>163</v>
      </c>
      <c r="E609" s="284"/>
      <c r="F609" s="284"/>
      <c r="G609" s="285" t="e">
        <f t="shared" si="15"/>
        <v>#DIV/0!</v>
      </c>
      <c r="H609" s="456"/>
      <c r="I609" s="457"/>
      <c r="J609" s="457"/>
      <c r="K609" s="457"/>
      <c r="L609" s="457"/>
    </row>
    <row r="610" spans="1:12" ht="17.25" customHeight="1">
      <c r="A610" s="657"/>
      <c r="B610" s="657"/>
      <c r="C610" s="337"/>
      <c r="D610" s="339" t="s">
        <v>164</v>
      </c>
      <c r="E610" s="284">
        <f>'ZSO Kom'!E206</f>
        <v>15</v>
      </c>
      <c r="F610" s="284">
        <f>'ZSO Kom'!F206</f>
        <v>15</v>
      </c>
      <c r="G610" s="285">
        <f t="shared" si="15"/>
        <v>1</v>
      </c>
      <c r="H610" s="456"/>
      <c r="I610" s="457"/>
      <c r="J610" s="457"/>
      <c r="K610" s="457"/>
      <c r="L610" s="457"/>
    </row>
    <row r="611" spans="1:12" ht="17.25" customHeight="1">
      <c r="A611" s="657"/>
      <c r="B611" s="657"/>
      <c r="C611" s="287">
        <v>4170</v>
      </c>
      <c r="D611" s="279" t="s">
        <v>235</v>
      </c>
      <c r="E611" s="280">
        <f>SUM(E612:E613)</f>
        <v>5500</v>
      </c>
      <c r="F611" s="280">
        <f>SUM(F612:F613)</f>
        <v>5000</v>
      </c>
      <c r="G611" s="281">
        <f>SUM(F611/E611)</f>
        <v>0.90909090909090906</v>
      </c>
      <c r="H611" s="456"/>
      <c r="I611" s="457"/>
      <c r="J611" s="457"/>
      <c r="K611" s="457"/>
      <c r="L611" s="457"/>
    </row>
    <row r="612" spans="1:12" ht="17.25" hidden="1" customHeight="1">
      <c r="A612" s="657"/>
      <c r="B612" s="657"/>
      <c r="C612" s="337"/>
      <c r="D612" s="338" t="s">
        <v>163</v>
      </c>
      <c r="E612" s="284">
        <f>SUM('ZS Mich'!E160)</f>
        <v>0</v>
      </c>
      <c r="F612" s="284">
        <f>SUM('ZS Mich'!F160)</f>
        <v>0</v>
      </c>
      <c r="G612" s="285" t="e">
        <f>SUM(F612/E612)</f>
        <v>#DIV/0!</v>
      </c>
      <c r="H612" s="456"/>
      <c r="I612" s="457"/>
      <c r="J612" s="457"/>
      <c r="K612" s="457"/>
      <c r="L612" s="457"/>
    </row>
    <row r="613" spans="1:12" ht="17.25" customHeight="1">
      <c r="A613" s="657"/>
      <c r="B613" s="657"/>
      <c r="C613" s="337"/>
      <c r="D613" s="339" t="s">
        <v>164</v>
      </c>
      <c r="E613" s="284">
        <f>'ZSO Kom'!E208</f>
        <v>5500</v>
      </c>
      <c r="F613" s="284">
        <f>'ZSO Kom'!F208</f>
        <v>5000</v>
      </c>
      <c r="G613" s="285">
        <f>SUM(F613/E613)</f>
        <v>0.90909090909090906</v>
      </c>
      <c r="H613" s="456"/>
      <c r="I613" s="457"/>
      <c r="J613" s="457"/>
      <c r="K613" s="457"/>
      <c r="L613" s="457"/>
    </row>
    <row r="614" spans="1:12" ht="14.45" customHeight="1">
      <c r="A614" s="657"/>
      <c r="B614" s="657"/>
      <c r="C614" s="287">
        <v>4210</v>
      </c>
      <c r="D614" s="288" t="s">
        <v>274</v>
      </c>
      <c r="E614" s="280">
        <f>SUM(E615:E617)</f>
        <v>1000</v>
      </c>
      <c r="F614" s="280">
        <f>SUM(F615:F617)</f>
        <v>1000</v>
      </c>
      <c r="G614" s="281">
        <f t="shared" si="15"/>
        <v>1</v>
      </c>
    </row>
    <row r="615" spans="1:12" ht="14.25" customHeight="1">
      <c r="A615" s="657"/>
      <c r="B615" s="657"/>
      <c r="C615" s="316"/>
      <c r="D615" s="324" t="s">
        <v>165</v>
      </c>
      <c r="E615" s="284">
        <f>'ZSO Kom'!E211</f>
        <v>1000</v>
      </c>
      <c r="F615" s="284">
        <f>'ZSO Kom'!F211</f>
        <v>1000</v>
      </c>
      <c r="G615" s="285">
        <f t="shared" si="15"/>
        <v>1</v>
      </c>
    </row>
    <row r="616" spans="1:12" ht="15.75" hidden="1" customHeight="1">
      <c r="A616" s="657"/>
      <c r="B616" s="657"/>
      <c r="C616" s="316"/>
      <c r="D616" s="324" t="s">
        <v>166</v>
      </c>
      <c r="E616" s="284">
        <f>SUM('ZS Mich'!E155)</f>
        <v>0</v>
      </c>
      <c r="F616" s="284">
        <f>SUM('ZS Mich'!F155)</f>
        <v>0</v>
      </c>
      <c r="G616" s="285" t="e">
        <f t="shared" si="15"/>
        <v>#DIV/0!</v>
      </c>
    </row>
    <row r="617" spans="1:12" ht="15" hidden="1" customHeight="1">
      <c r="A617" s="657"/>
      <c r="B617" s="657"/>
      <c r="C617" s="316"/>
      <c r="D617" s="324" t="s">
        <v>167</v>
      </c>
      <c r="E617" s="284">
        <f>'ZSP NW'!E211</f>
        <v>0</v>
      </c>
      <c r="F617" s="284">
        <f>'ZSP NW'!F211</f>
        <v>0</v>
      </c>
      <c r="G617" s="285" t="e">
        <f t="shared" si="15"/>
        <v>#DIV/0!</v>
      </c>
    </row>
    <row r="618" spans="1:12" ht="16.5" customHeight="1">
      <c r="A618" s="657"/>
      <c r="B618" s="657"/>
      <c r="C618" s="287">
        <v>4300</v>
      </c>
      <c r="D618" s="288" t="s">
        <v>100</v>
      </c>
      <c r="E618" s="280">
        <f>SUM(E619:E621)</f>
        <v>22882</v>
      </c>
      <c r="F618" s="280">
        <f>SUM(F619:F621)</f>
        <v>20000</v>
      </c>
      <c r="G618" s="281">
        <f t="shared" si="15"/>
        <v>0.87404947120006993</v>
      </c>
    </row>
    <row r="619" spans="1:12" ht="16.5" customHeight="1">
      <c r="A619" s="657"/>
      <c r="B619" s="657"/>
      <c r="C619" s="316"/>
      <c r="D619" s="324" t="s">
        <v>162</v>
      </c>
      <c r="E619" s="284">
        <f>'ZSO Kom'!E213</f>
        <v>22882</v>
      </c>
      <c r="F619" s="284">
        <f>'ZSO Kom'!F213</f>
        <v>20000</v>
      </c>
      <c r="G619" s="285">
        <f t="shared" si="15"/>
        <v>0.87404947120006993</v>
      </c>
    </row>
    <row r="620" spans="1:12" ht="15.75" hidden="1" customHeight="1">
      <c r="A620" s="657"/>
      <c r="B620" s="657"/>
      <c r="C620" s="316"/>
      <c r="D620" s="324" t="s">
        <v>160</v>
      </c>
      <c r="E620" s="284">
        <f>SUM('ZS Mich'!E158)</f>
        <v>0</v>
      </c>
      <c r="F620" s="284">
        <f>SUM('ZS Mich'!F158)</f>
        <v>0</v>
      </c>
      <c r="G620" s="285" t="e">
        <f t="shared" si="15"/>
        <v>#DIV/0!</v>
      </c>
    </row>
    <row r="621" spans="1:12" ht="18" hidden="1" customHeight="1">
      <c r="A621" s="657"/>
      <c r="B621" s="657"/>
      <c r="C621" s="316"/>
      <c r="D621" s="324" t="s">
        <v>161</v>
      </c>
      <c r="E621" s="284">
        <f>SUM('ZSP NW'!E213)</f>
        <v>0</v>
      </c>
      <c r="F621" s="284">
        <f>SUM('ZSP NW'!F213)</f>
        <v>0</v>
      </c>
      <c r="G621" s="285" t="e">
        <f t="shared" si="15"/>
        <v>#DIV/0!</v>
      </c>
    </row>
    <row r="622" spans="1:12" ht="18" hidden="1" customHeight="1">
      <c r="A622" s="657"/>
      <c r="B622" s="657"/>
      <c r="C622" s="287">
        <v>4420</v>
      </c>
      <c r="D622" s="288" t="s">
        <v>360</v>
      </c>
      <c r="E622" s="280">
        <f>SUM(E623:E625)</f>
        <v>0</v>
      </c>
      <c r="F622" s="280">
        <f>SUM(F623:F625)</f>
        <v>0</v>
      </c>
      <c r="G622" s="281" t="e">
        <f t="shared" si="15"/>
        <v>#DIV/0!</v>
      </c>
    </row>
    <row r="623" spans="1:12" ht="15.75" hidden="1" customHeight="1">
      <c r="A623" s="657"/>
      <c r="B623" s="657"/>
      <c r="C623" s="316"/>
      <c r="D623" s="339" t="s">
        <v>168</v>
      </c>
      <c r="E623" s="284">
        <f>SUM('ZSO Kom'!E214)</f>
        <v>0</v>
      </c>
      <c r="F623" s="284">
        <f>SUM('ZSO Kom'!F214)</f>
        <v>0</v>
      </c>
      <c r="G623" s="285" t="e">
        <f t="shared" si="15"/>
        <v>#DIV/0!</v>
      </c>
    </row>
    <row r="624" spans="1:12" ht="20.25" hidden="1" customHeight="1">
      <c r="A624" s="657"/>
      <c r="B624" s="657"/>
      <c r="C624" s="316"/>
      <c r="D624" s="339" t="s">
        <v>169</v>
      </c>
      <c r="E624" s="284">
        <f>SUM('ZS Mich'!E160)</f>
        <v>0</v>
      </c>
      <c r="F624" s="284">
        <f>SUM('ZS Mich'!F160)</f>
        <v>0</v>
      </c>
      <c r="G624" s="285" t="e">
        <f t="shared" si="15"/>
        <v>#DIV/0!</v>
      </c>
    </row>
    <row r="625" spans="1:9" ht="21" hidden="1" customHeight="1">
      <c r="A625" s="658"/>
      <c r="B625" s="658"/>
      <c r="C625" s="316"/>
      <c r="D625" s="339" t="s">
        <v>170</v>
      </c>
      <c r="E625" s="284">
        <f>'ZSP NW'!E214</f>
        <v>0</v>
      </c>
      <c r="F625" s="284">
        <f>'ZSP NW'!F214</f>
        <v>0</v>
      </c>
      <c r="G625" s="285" t="e">
        <f t="shared" si="15"/>
        <v>#DIV/0!</v>
      </c>
    </row>
    <row r="626" spans="1:9" ht="29.25" customHeight="1">
      <c r="A626" s="700" t="s">
        <v>481</v>
      </c>
      <c r="B626" s="701"/>
      <c r="C626" s="701"/>
      <c r="D626" s="702"/>
      <c r="E626" s="291">
        <f>SUM(E605+E608+E611+E614+E618+E622)</f>
        <v>29500</v>
      </c>
      <c r="F626" s="291">
        <f>SUM(F605+F608+F611+F614+F618+F622)</f>
        <v>26115</v>
      </c>
      <c r="G626" s="292">
        <f t="shared" si="15"/>
        <v>0.88525423728813557</v>
      </c>
      <c r="I626" s="304"/>
    </row>
    <row r="627" spans="1:9" ht="20.25" customHeight="1">
      <c r="A627" s="703">
        <v>854</v>
      </c>
      <c r="B627" s="705">
        <v>85415</v>
      </c>
      <c r="C627" s="670">
        <v>3240</v>
      </c>
      <c r="D627" s="340" t="s">
        <v>442</v>
      </c>
      <c r="E627" s="284">
        <f>E628+E629+E630+E631</f>
        <v>65138</v>
      </c>
      <c r="F627" s="284">
        <f>F628+F629+F630+F631</f>
        <v>68200</v>
      </c>
      <c r="G627" s="285">
        <f t="shared" si="15"/>
        <v>1.0470078909392366</v>
      </c>
      <c r="I627" s="304"/>
    </row>
    <row r="628" spans="1:9" ht="18" customHeight="1">
      <c r="A628" s="703"/>
      <c r="B628" s="705"/>
      <c r="C628" s="677"/>
      <c r="D628" s="306" t="s">
        <v>119</v>
      </c>
      <c r="E628" s="284">
        <f>CUW!E158</f>
        <v>35000</v>
      </c>
      <c r="F628" s="284">
        <f>CUW!F158</f>
        <v>35200</v>
      </c>
      <c r="G628" s="285">
        <f t="shared" si="15"/>
        <v>1.0057142857142858</v>
      </c>
      <c r="I628" s="304"/>
    </row>
    <row r="629" spans="1:9" ht="0.75" customHeight="1">
      <c r="A629" s="703"/>
      <c r="B629" s="705"/>
      <c r="C629" s="677"/>
      <c r="D629" s="306" t="s">
        <v>120</v>
      </c>
      <c r="E629" s="284">
        <f>CUW!E159</f>
        <v>14000</v>
      </c>
      <c r="F629" s="284">
        <f>CUW!F159</f>
        <v>8800</v>
      </c>
      <c r="G629" s="285">
        <f t="shared" si="15"/>
        <v>0.62857142857142856</v>
      </c>
      <c r="I629" s="304"/>
    </row>
    <row r="630" spans="1:9" ht="18.75" customHeight="1">
      <c r="A630" s="703"/>
      <c r="B630" s="705"/>
      <c r="C630" s="677"/>
      <c r="D630" s="306" t="s">
        <v>538</v>
      </c>
      <c r="E630" s="284">
        <f>CUW!E160</f>
        <v>15000</v>
      </c>
      <c r="F630" s="284">
        <f>CUW!F160</f>
        <v>24200</v>
      </c>
      <c r="G630" s="285">
        <f t="shared" si="15"/>
        <v>1.6133333333333333</v>
      </c>
      <c r="I630" s="304"/>
    </row>
    <row r="631" spans="1:9" ht="16.5" customHeight="1">
      <c r="A631" s="703"/>
      <c r="B631" s="705"/>
      <c r="C631" s="678"/>
      <c r="D631" s="306" t="s">
        <v>533</v>
      </c>
      <c r="E631" s="284">
        <f>CUW!E161</f>
        <v>1138</v>
      </c>
      <c r="F631" s="284">
        <f>CUW!F161</f>
        <v>0</v>
      </c>
      <c r="G631" s="285">
        <f t="shared" si="15"/>
        <v>0</v>
      </c>
      <c r="I631" s="304"/>
    </row>
    <row r="632" spans="1:9">
      <c r="A632" s="703"/>
      <c r="B632" s="705"/>
      <c r="C632" s="705">
        <v>3260</v>
      </c>
      <c r="D632" s="340" t="s">
        <v>432</v>
      </c>
      <c r="E632" s="280">
        <f>E633+E634+E635</f>
        <v>4000</v>
      </c>
      <c r="F632" s="280">
        <f>F633+F634+F635</f>
        <v>4000</v>
      </c>
      <c r="G632" s="285">
        <f t="shared" si="15"/>
        <v>1</v>
      </c>
    </row>
    <row r="633" spans="1:9">
      <c r="A633" s="703"/>
      <c r="B633" s="705"/>
      <c r="C633" s="705"/>
      <c r="D633" s="306" t="s">
        <v>121</v>
      </c>
      <c r="E633" s="284">
        <f>CUW!E163</f>
        <v>2500</v>
      </c>
      <c r="F633" s="284">
        <f>CUW!F163</f>
        <v>2500</v>
      </c>
      <c r="G633" s="285">
        <f t="shared" si="15"/>
        <v>1</v>
      </c>
    </row>
    <row r="634" spans="1:9">
      <c r="A634" s="703"/>
      <c r="B634" s="705"/>
      <c r="C634" s="705"/>
      <c r="D634" s="331" t="s">
        <v>539</v>
      </c>
      <c r="E634" s="284">
        <f>CUW!E164</f>
        <v>1500</v>
      </c>
      <c r="F634" s="284">
        <f>CUW!F164</f>
        <v>1500</v>
      </c>
      <c r="G634" s="285">
        <f t="shared" si="15"/>
        <v>1</v>
      </c>
    </row>
    <row r="635" spans="1:9" ht="17.25" hidden="1" customHeight="1">
      <c r="A635" s="704"/>
      <c r="B635" s="705"/>
      <c r="C635" s="705"/>
      <c r="D635" s="290" t="s">
        <v>253</v>
      </c>
      <c r="E635" s="284">
        <f>'ZS Mich'!E163+'ZSP NW'!E218+'ZSO Kom'!E218</f>
        <v>0</v>
      </c>
      <c r="F635" s="284">
        <f>'ZS Mich'!F163+'ZSP NW'!F218+'ZSO Kom'!F218</f>
        <v>0</v>
      </c>
      <c r="G635" s="285" t="e">
        <f t="shared" si="15"/>
        <v>#DIV/0!</v>
      </c>
    </row>
    <row r="636" spans="1:9">
      <c r="A636" s="659" t="s">
        <v>474</v>
      </c>
      <c r="B636" s="660"/>
      <c r="C636" s="660"/>
      <c r="D636" s="661"/>
      <c r="E636" s="291">
        <f>SUM(E627+E632)</f>
        <v>69138</v>
      </c>
      <c r="F636" s="291">
        <f>SUM(F627+F632)</f>
        <v>72200</v>
      </c>
      <c r="G636" s="292">
        <f t="shared" si="15"/>
        <v>1.0442882351239551</v>
      </c>
      <c r="I636" s="315"/>
    </row>
    <row r="637" spans="1:9">
      <c r="A637" s="705">
        <v>854</v>
      </c>
      <c r="B637" s="705">
        <v>85416</v>
      </c>
      <c r="C637" s="672">
        <v>3040</v>
      </c>
      <c r="D637" s="323" t="s">
        <v>476</v>
      </c>
      <c r="E637" s="280">
        <f>SUM(E638:E639)</f>
        <v>13600</v>
      </c>
      <c r="F637" s="280">
        <f>SUM(F638:F639)</f>
        <v>27700</v>
      </c>
      <c r="G637" s="281">
        <f>SUM(F637/E637)</f>
        <v>2.0367647058823528</v>
      </c>
      <c r="I637" s="315"/>
    </row>
    <row r="638" spans="1:9">
      <c r="A638" s="705"/>
      <c r="B638" s="705"/>
      <c r="C638" s="672"/>
      <c r="D638" s="339" t="s">
        <v>479</v>
      </c>
      <c r="E638" s="284">
        <f>'ZS Mich'!E166+'ZSP NW'!E221+'ZSO Kom'!E221</f>
        <v>0</v>
      </c>
      <c r="F638" s="284">
        <f>'ZS Mich'!F166+'ZSP NW'!F221+'ZSO Kom'!F221</f>
        <v>14600</v>
      </c>
      <c r="G638" s="285" t="e">
        <f>SUM(F638/E638)</f>
        <v>#DIV/0!</v>
      </c>
      <c r="I638" s="315"/>
    </row>
    <row r="639" spans="1:9">
      <c r="A639" s="705"/>
      <c r="B639" s="705"/>
      <c r="C639" s="672"/>
      <c r="D639" s="339" t="s">
        <v>480</v>
      </c>
      <c r="E639" s="284">
        <f>'ZS Mich'!E167+'ZSP NW'!E222+'ZSO Kom'!E222</f>
        <v>13600</v>
      </c>
      <c r="F639" s="284">
        <f>'ZS Mich'!F167+'ZSP NW'!F222+'ZSO Kom'!F222</f>
        <v>13100</v>
      </c>
      <c r="G639" s="285">
        <f>SUM(F639/E639)</f>
        <v>0.96323529411764708</v>
      </c>
      <c r="I639" s="315"/>
    </row>
    <row r="640" spans="1:9">
      <c r="A640" s="705"/>
      <c r="B640" s="705"/>
      <c r="C640" s="656">
        <v>3240</v>
      </c>
      <c r="D640" s="293" t="s">
        <v>442</v>
      </c>
      <c r="E640" s="280">
        <f>SUM(E641:E643)</f>
        <v>81600</v>
      </c>
      <c r="F640" s="280">
        <f>SUM(F641:F643)</f>
        <v>71400</v>
      </c>
      <c r="G640" s="281">
        <f t="shared" si="15"/>
        <v>0.875</v>
      </c>
      <c r="I640" s="315"/>
    </row>
    <row r="641" spans="1:9">
      <c r="A641" s="705"/>
      <c r="B641" s="705"/>
      <c r="C641" s="657"/>
      <c r="D641" s="296" t="s">
        <v>471</v>
      </c>
      <c r="E641" s="284">
        <f>'ZS Mich'!E169+'ZSP NW'!E224+'ZSO Kom'!E224</f>
        <v>54700</v>
      </c>
      <c r="F641" s="284">
        <f>'ZS Mich'!F169+'ZSP NW'!F224+'ZSO Kom'!F224</f>
        <v>52000</v>
      </c>
      <c r="G641" s="285">
        <f>SUM(F641/E641)</f>
        <v>0.95063985374771476</v>
      </c>
      <c r="I641" s="315"/>
    </row>
    <row r="642" spans="1:9">
      <c r="A642" s="705"/>
      <c r="B642" s="705"/>
      <c r="C642" s="657"/>
      <c r="D642" s="296" t="s">
        <v>472</v>
      </c>
      <c r="E642" s="284">
        <f>'ZS Mich'!E170+'ZSP NW'!E225+'ZSO Kom'!E225</f>
        <v>23900</v>
      </c>
      <c r="F642" s="284">
        <f>'ZS Mich'!F170+'ZSP NW'!F225+'ZSO Kom'!F225</f>
        <v>16200</v>
      </c>
      <c r="G642" s="285">
        <f>SUM(F642/E642)</f>
        <v>0.67782426778242677</v>
      </c>
      <c r="I642" s="315"/>
    </row>
    <row r="643" spans="1:9">
      <c r="A643" s="705"/>
      <c r="B643" s="705"/>
      <c r="C643" s="657"/>
      <c r="D643" s="296" t="s">
        <v>366</v>
      </c>
      <c r="E643" s="284">
        <f>'ZSO Kom'!E226</f>
        <v>3000</v>
      </c>
      <c r="F643" s="284">
        <f>'ZSO Kom'!F226</f>
        <v>3200</v>
      </c>
      <c r="G643" s="285">
        <f>SUM(F643/E643)</f>
        <v>1.0666666666666667</v>
      </c>
      <c r="I643" s="315"/>
    </row>
    <row r="644" spans="1:9">
      <c r="A644" s="659" t="s">
        <v>475</v>
      </c>
      <c r="B644" s="660"/>
      <c r="C644" s="660"/>
      <c r="D644" s="661"/>
      <c r="E644" s="291">
        <f>E637+E640</f>
        <v>95200</v>
      </c>
      <c r="F644" s="291">
        <f>F637+F640</f>
        <v>99100</v>
      </c>
      <c r="G644" s="285">
        <f>SUM(F644/E644)</f>
        <v>1.0409663865546219</v>
      </c>
      <c r="I644" s="315"/>
    </row>
    <row r="645" spans="1:9">
      <c r="A645" s="695" t="s">
        <v>436</v>
      </c>
      <c r="B645" s="696"/>
      <c r="C645" s="696"/>
      <c r="D645" s="696"/>
      <c r="E645" s="291">
        <f>SUM(E594+E604+E626+E636+E644)</f>
        <v>2415006</v>
      </c>
      <c r="F645" s="291">
        <f>SUM(F594+F626+F636+F644+F604)</f>
        <v>2653160</v>
      </c>
      <c r="G645" s="292">
        <f t="shared" si="15"/>
        <v>1.0986142477492808</v>
      </c>
      <c r="H645" s="315"/>
      <c r="I645" s="298"/>
    </row>
    <row r="646" spans="1:9" ht="30">
      <c r="A646" s="783">
        <v>855</v>
      </c>
      <c r="B646" s="783">
        <v>85505</v>
      </c>
      <c r="C646" s="783">
        <v>2830</v>
      </c>
      <c r="D646" s="293" t="s">
        <v>382</v>
      </c>
      <c r="E646" s="280">
        <f>SUM(E647:E654)</f>
        <v>401820</v>
      </c>
      <c r="F646" s="280">
        <f>SUM(F647:F654)</f>
        <v>571200</v>
      </c>
      <c r="G646" s="285">
        <f t="shared" ref="G646:G660" si="16">SUM(F646/E646)</f>
        <v>1.4215320292668359</v>
      </c>
      <c r="H646" s="315"/>
      <c r="I646" s="298"/>
    </row>
    <row r="647" spans="1:9">
      <c r="A647" s="784"/>
      <c r="B647" s="784"/>
      <c r="C647" s="784"/>
      <c r="D647" s="289" t="s">
        <v>116</v>
      </c>
      <c r="E647" s="284">
        <f>CUW!E169</f>
        <v>31920</v>
      </c>
      <c r="F647" s="284">
        <f>CUW!F169</f>
        <v>0</v>
      </c>
      <c r="G647" s="285">
        <f t="shared" si="16"/>
        <v>0</v>
      </c>
      <c r="H647" s="315"/>
      <c r="I647" s="298"/>
    </row>
    <row r="648" spans="1:9">
      <c r="A648" s="784"/>
      <c r="B648" s="784"/>
      <c r="C648" s="784"/>
      <c r="D648" s="289" t="s">
        <v>117</v>
      </c>
      <c r="E648" s="284">
        <f>CUW!E170</f>
        <v>45820</v>
      </c>
      <c r="F648" s="284">
        <f>CUW!F170</f>
        <v>109200</v>
      </c>
      <c r="G648" s="285">
        <f t="shared" si="16"/>
        <v>2.3832387603666523</v>
      </c>
      <c r="H648" s="315"/>
      <c r="I648" s="298"/>
    </row>
    <row r="649" spans="1:9">
      <c r="A649" s="784"/>
      <c r="B649" s="784"/>
      <c r="C649" s="784"/>
      <c r="D649" s="286" t="s">
        <v>118</v>
      </c>
      <c r="E649" s="284">
        <f>CUW!E171</f>
        <v>105940</v>
      </c>
      <c r="F649" s="284">
        <f>CUW!F171</f>
        <v>210000</v>
      </c>
      <c r="G649" s="285">
        <f t="shared" si="16"/>
        <v>1.9822541060977912</v>
      </c>
      <c r="H649" s="315"/>
      <c r="I649" s="298"/>
    </row>
    <row r="650" spans="1:9">
      <c r="A650" s="784"/>
      <c r="B650" s="784"/>
      <c r="C650" s="784"/>
      <c r="D650" s="286" t="s">
        <v>261</v>
      </c>
      <c r="E650" s="284">
        <f>CUW!E172</f>
        <v>14400</v>
      </c>
      <c r="F650" s="284">
        <f>CUW!F172</f>
        <v>0</v>
      </c>
      <c r="G650" s="285">
        <f t="shared" si="16"/>
        <v>0</v>
      </c>
      <c r="H650" s="315"/>
      <c r="I650" s="298"/>
    </row>
    <row r="651" spans="1:9">
      <c r="A651" s="784"/>
      <c r="B651" s="784"/>
      <c r="C651" s="784"/>
      <c r="D651" s="286" t="s">
        <v>312</v>
      </c>
      <c r="E651" s="284">
        <f>CUW!E173</f>
        <v>12920</v>
      </c>
      <c r="F651" s="284">
        <f>CUW!F173</f>
        <v>0</v>
      </c>
      <c r="G651" s="285">
        <f t="shared" si="16"/>
        <v>0</v>
      </c>
      <c r="H651" s="315"/>
      <c r="I651" s="298"/>
    </row>
    <row r="652" spans="1:9">
      <c r="A652" s="784"/>
      <c r="B652" s="784"/>
      <c r="C652" s="784"/>
      <c r="D652" s="286" t="s">
        <v>437</v>
      </c>
      <c r="E652" s="284">
        <f>CUW!E174</f>
        <v>108920</v>
      </c>
      <c r="F652" s="284">
        <f>CUW!F174</f>
        <v>120000</v>
      </c>
      <c r="G652" s="285">
        <f t="shared" si="16"/>
        <v>1.1017260374586852</v>
      </c>
      <c r="H652" s="315"/>
      <c r="I652" s="298"/>
    </row>
    <row r="653" spans="1:9">
      <c r="A653" s="784"/>
      <c r="B653" s="784"/>
      <c r="C653" s="784"/>
      <c r="D653" s="286" t="s">
        <v>85</v>
      </c>
      <c r="E653" s="284">
        <f>CUW!E175</f>
        <v>43500</v>
      </c>
      <c r="F653" s="284">
        <f>CUW!F175</f>
        <v>48000</v>
      </c>
      <c r="G653" s="285">
        <f>SUM(F653/E653)</f>
        <v>1.103448275862069</v>
      </c>
      <c r="H653" s="315"/>
      <c r="I653" s="298"/>
    </row>
    <row r="654" spans="1:9">
      <c r="A654" s="785"/>
      <c r="B654" s="785"/>
      <c r="C654" s="785"/>
      <c r="D654" s="286" t="s">
        <v>565</v>
      </c>
      <c r="E654" s="284">
        <f>CUW!E176</f>
        <v>38400</v>
      </c>
      <c r="F654" s="284">
        <f>CUW!F176</f>
        <v>84000</v>
      </c>
      <c r="G654" s="285">
        <f t="shared" si="16"/>
        <v>2.1875</v>
      </c>
      <c r="H654" s="315"/>
      <c r="I654" s="298"/>
    </row>
    <row r="655" spans="1:9">
      <c r="A655" s="659" t="s">
        <v>488</v>
      </c>
      <c r="B655" s="781"/>
      <c r="C655" s="781"/>
      <c r="D655" s="782"/>
      <c r="E655" s="291">
        <f>CUW!E177</f>
        <v>401820</v>
      </c>
      <c r="F655" s="291">
        <f>CUW!F177</f>
        <v>571200</v>
      </c>
      <c r="G655" s="292">
        <f t="shared" si="16"/>
        <v>1.4215320292668359</v>
      </c>
      <c r="H655" s="315"/>
      <c r="I655" s="298"/>
    </row>
    <row r="656" spans="1:9" ht="30">
      <c r="A656" s="783">
        <v>855</v>
      </c>
      <c r="B656" s="783">
        <v>85506</v>
      </c>
      <c r="C656" s="783">
        <v>2830</v>
      </c>
      <c r="D656" s="293" t="s">
        <v>382</v>
      </c>
      <c r="E656" s="280">
        <f>SUM(E657:E658)</f>
        <v>42100</v>
      </c>
      <c r="F656" s="280">
        <f>SUM(F657:F658)</f>
        <v>50400</v>
      </c>
      <c r="G656" s="281">
        <f t="shared" si="16"/>
        <v>1.1971496437054632</v>
      </c>
      <c r="H656" s="315"/>
      <c r="I656" s="298"/>
    </row>
    <row r="657" spans="1:9">
      <c r="A657" s="784"/>
      <c r="B657" s="784"/>
      <c r="C657" s="784"/>
      <c r="D657" s="289" t="s">
        <v>304</v>
      </c>
      <c r="E657" s="280">
        <f>CUW!E179</f>
        <v>19650</v>
      </c>
      <c r="F657" s="280">
        <f>CUW!F179</f>
        <v>50400</v>
      </c>
      <c r="G657" s="281">
        <f t="shared" si="16"/>
        <v>2.5648854961832059</v>
      </c>
      <c r="H657" s="315"/>
      <c r="I657" s="298"/>
    </row>
    <row r="658" spans="1:9">
      <c r="A658" s="785"/>
      <c r="B658" s="785"/>
      <c r="C658" s="785"/>
      <c r="D658" s="289" t="s">
        <v>438</v>
      </c>
      <c r="E658" s="280">
        <f>CUW!E180</f>
        <v>22450</v>
      </c>
      <c r="F658" s="280">
        <f>CUW!F180</f>
        <v>0</v>
      </c>
      <c r="G658" s="285">
        <f t="shared" si="16"/>
        <v>0</v>
      </c>
      <c r="H658" s="315"/>
      <c r="I658" s="298"/>
    </row>
    <row r="659" spans="1:9">
      <c r="A659" s="659" t="s">
        <v>489</v>
      </c>
      <c r="B659" s="781"/>
      <c r="C659" s="781"/>
      <c r="D659" s="782"/>
      <c r="E659" s="291">
        <f>E656</f>
        <v>42100</v>
      </c>
      <c r="F659" s="291">
        <f>F656</f>
        <v>50400</v>
      </c>
      <c r="G659" s="292">
        <f t="shared" si="16"/>
        <v>1.1971496437054632</v>
      </c>
      <c r="H659" s="315"/>
      <c r="I659" s="298"/>
    </row>
    <row r="660" spans="1:9">
      <c r="A660" s="787" t="s">
        <v>490</v>
      </c>
      <c r="B660" s="788"/>
      <c r="C660" s="788"/>
      <c r="D660" s="789"/>
      <c r="E660" s="291">
        <f>E655+E659</f>
        <v>443920</v>
      </c>
      <c r="F660" s="291">
        <f>F655+F659</f>
        <v>621600</v>
      </c>
      <c r="G660" s="292">
        <f t="shared" si="16"/>
        <v>1.4002522977112994</v>
      </c>
      <c r="H660" s="315"/>
      <c r="I660" s="298"/>
    </row>
    <row r="661" spans="1:9">
      <c r="A661" s="706" t="s">
        <v>721</v>
      </c>
      <c r="B661" s="707"/>
      <c r="C661" s="707"/>
      <c r="D661" s="707"/>
      <c r="E661" s="291">
        <f>SUM(E36+E549+E553+E645+E660)</f>
        <v>40366871</v>
      </c>
      <c r="F661" s="291">
        <f>SUM(F36+F549+F553+F645+F660)</f>
        <v>43791735</v>
      </c>
      <c r="G661" s="292">
        <f t="shared" si="15"/>
        <v>1.0848434351030081</v>
      </c>
      <c r="H661" s="315"/>
      <c r="I661" s="274"/>
    </row>
    <row r="662" spans="1:9">
      <c r="A662" s="708"/>
      <c r="B662" s="708"/>
      <c r="C662" s="708"/>
      <c r="D662" s="341"/>
      <c r="E662" s="342"/>
      <c r="F662" s="342">
        <f>'ZS Mich'!F173+'ZSP NW'!F228+'Pd Mich'!G68+'ZSO Kom'!F229+CUW!F183</f>
        <v>43791735</v>
      </c>
      <c r="G662" s="343">
        <f>F661-F662</f>
        <v>0</v>
      </c>
      <c r="I662" s="274"/>
    </row>
    <row r="663" spans="1:9">
      <c r="A663" s="344"/>
      <c r="B663" s="344"/>
      <c r="C663" s="344"/>
      <c r="D663" s="135"/>
      <c r="E663" s="345"/>
      <c r="F663" s="345">
        <f>F661-E661</f>
        <v>3424864</v>
      </c>
      <c r="G663" s="346"/>
      <c r="I663" s="274"/>
    </row>
    <row r="664" spans="1:9">
      <c r="A664" s="344"/>
      <c r="B664" s="344"/>
      <c r="C664" s="344"/>
      <c r="D664" s="135"/>
      <c r="E664" s="345"/>
      <c r="F664" s="342"/>
      <c r="G664" s="346"/>
    </row>
    <row r="665" spans="1:9" ht="39.75" hidden="1" customHeight="1">
      <c r="A665" s="709" t="s">
        <v>6</v>
      </c>
      <c r="B665" s="709"/>
      <c r="C665" s="709"/>
      <c r="D665" s="709"/>
      <c r="E665" s="709"/>
      <c r="F665" s="709"/>
      <c r="G665" s="709"/>
      <c r="H665" s="347"/>
      <c r="I665" s="348"/>
    </row>
    <row r="666" spans="1:9" ht="18" hidden="1" customHeight="1">
      <c r="A666" s="709" t="s">
        <v>389</v>
      </c>
      <c r="B666" s="709"/>
      <c r="C666" s="709"/>
      <c r="D666" s="709"/>
      <c r="E666" s="710"/>
      <c r="F666" s="710"/>
      <c r="G666" s="349"/>
      <c r="H666" s="347"/>
      <c r="I666" s="348"/>
    </row>
    <row r="667" spans="1:9" ht="18" hidden="1" customHeight="1">
      <c r="A667" s="711" t="s">
        <v>388</v>
      </c>
      <c r="B667" s="712"/>
      <c r="C667" s="712"/>
      <c r="D667" s="712"/>
      <c r="E667" s="712"/>
      <c r="F667" s="350"/>
      <c r="G667" s="349"/>
      <c r="H667" s="347"/>
      <c r="I667" s="348"/>
    </row>
    <row r="668" spans="1:9" hidden="1">
      <c r="A668" s="713" t="s">
        <v>459</v>
      </c>
      <c r="B668" s="713"/>
      <c r="C668" s="713"/>
      <c r="D668" s="713"/>
      <c r="E668" s="710"/>
      <c r="H668" s="352"/>
      <c r="I668" s="353"/>
    </row>
    <row r="669" spans="1:9" hidden="1">
      <c r="A669" s="713" t="s">
        <v>449</v>
      </c>
      <c r="B669" s="713"/>
      <c r="C669" s="713"/>
      <c r="D669" s="713"/>
      <c r="E669" s="310"/>
      <c r="F669" s="354"/>
      <c r="G669" s="310"/>
      <c r="H669" s="352"/>
      <c r="I669" s="353"/>
    </row>
    <row r="670" spans="1:9" hidden="1">
      <c r="A670" s="714" t="s">
        <v>390</v>
      </c>
      <c r="B670" s="714"/>
      <c r="C670" s="714"/>
      <c r="D670" s="714"/>
      <c r="E670" s="714"/>
      <c r="F670" s="354"/>
      <c r="G670" s="310"/>
      <c r="H670" s="352"/>
      <c r="I670" s="353"/>
    </row>
    <row r="671" spans="1:9" hidden="1">
      <c r="A671" s="310"/>
      <c r="B671" s="310"/>
      <c r="C671" s="310"/>
      <c r="D671" s="355" t="s">
        <v>186</v>
      </c>
      <c r="E671" s="310"/>
      <c r="F671" s="354">
        <f>F664-F662</f>
        <v>-43791735</v>
      </c>
      <c r="G671" s="310"/>
      <c r="H671" s="352" t="e">
        <f>'ZS Mich'!F173+'ZSP NW'!F228+'Pd Mich'!G68+'ZSO Kom'!F229+#REF!+CUW!F183</f>
        <v>#REF!</v>
      </c>
      <c r="I671" s="353"/>
    </row>
    <row r="672" spans="1:9" ht="13.5" hidden="1" customHeight="1">
      <c r="A672" s="715" t="s">
        <v>667</v>
      </c>
      <c r="B672" s="715"/>
      <c r="C672" s="715"/>
      <c r="D672" s="715"/>
      <c r="E672" s="715"/>
      <c r="F672" s="715"/>
      <c r="G672" s="715"/>
      <c r="H672" s="352"/>
      <c r="I672" s="353"/>
    </row>
    <row r="673" spans="1:9" hidden="1">
      <c r="A673" s="310"/>
      <c r="B673" s="310"/>
      <c r="C673" s="310"/>
      <c r="D673" s="310"/>
      <c r="E673" s="310"/>
      <c r="F673" s="354"/>
      <c r="G673" s="310">
        <f>397+12</f>
        <v>409</v>
      </c>
      <c r="H673" s="352"/>
      <c r="I673" s="353"/>
    </row>
    <row r="674" spans="1:9" hidden="1">
      <c r="A674" s="716" t="s">
        <v>93</v>
      </c>
      <c r="B674" s="710"/>
      <c r="C674" s="710"/>
      <c r="D674" s="356">
        <f>D680+D686+D697+160000</f>
        <v>363500</v>
      </c>
      <c r="E674" s="357"/>
      <c r="F674" s="356"/>
      <c r="G674" s="357"/>
      <c r="H674" s="352"/>
      <c r="I674" s="353"/>
    </row>
    <row r="675" spans="1:9" hidden="1">
      <c r="A675" s="714" t="s">
        <v>94</v>
      </c>
      <c r="B675" s="712"/>
      <c r="C675" s="712"/>
      <c r="D675" s="712"/>
      <c r="E675" s="712"/>
      <c r="F675" s="712"/>
      <c r="G675" s="712"/>
      <c r="H675" s="352"/>
      <c r="I675" s="353"/>
    </row>
    <row r="676" spans="1:9" hidden="1">
      <c r="A676" s="310"/>
      <c r="B676" s="310"/>
      <c r="C676" s="310">
        <v>3020</v>
      </c>
      <c r="D676" s="354">
        <f>6600*2</f>
        <v>13200</v>
      </c>
      <c r="E676" s="310"/>
      <c r="F676" s="354"/>
      <c r="G676" s="310"/>
      <c r="H676" s="352"/>
      <c r="I676" s="358"/>
    </row>
    <row r="677" spans="1:9" hidden="1">
      <c r="A677" s="310"/>
      <c r="B677" s="310"/>
      <c r="C677" s="310">
        <v>4010</v>
      </c>
      <c r="D677" s="354">
        <f>32000*2</f>
        <v>64000</v>
      </c>
      <c r="E677" s="310"/>
      <c r="F677" s="354"/>
      <c r="G677" s="310"/>
      <c r="H677" s="352"/>
      <c r="I677" s="353"/>
    </row>
    <row r="678" spans="1:9" hidden="1">
      <c r="A678" s="310"/>
      <c r="B678" s="310"/>
      <c r="C678" s="310">
        <v>4110</v>
      </c>
      <c r="D678" s="354">
        <f>7100*2</f>
        <v>14200</v>
      </c>
      <c r="E678" s="310"/>
      <c r="F678" s="354"/>
      <c r="G678" s="310"/>
      <c r="H678" s="352"/>
      <c r="I678" s="353"/>
    </row>
    <row r="679" spans="1:9" hidden="1">
      <c r="A679" s="310"/>
      <c r="B679" s="310"/>
      <c r="C679" s="310">
        <v>4120</v>
      </c>
      <c r="D679" s="354">
        <f>1000*2</f>
        <v>2000</v>
      </c>
      <c r="E679" s="310"/>
      <c r="F679" s="354"/>
      <c r="G679" s="310"/>
      <c r="H679" s="352"/>
      <c r="I679" s="353"/>
    </row>
    <row r="680" spans="1:9" hidden="1">
      <c r="A680" s="310"/>
      <c r="B680" s="310"/>
      <c r="C680" s="310"/>
      <c r="D680" s="358">
        <f>SUM(D676:D679)</f>
        <v>93400</v>
      </c>
      <c r="E680" s="310"/>
      <c r="F680" s="354"/>
      <c r="G680" s="310"/>
      <c r="H680" s="352"/>
      <c r="I680" s="353"/>
    </row>
    <row r="681" spans="1:9" hidden="1">
      <c r="A681" s="714" t="s">
        <v>73</v>
      </c>
      <c r="B681" s="712"/>
      <c r="C681" s="712"/>
      <c r="D681" s="712"/>
      <c r="E681" s="712"/>
      <c r="F681" s="712"/>
      <c r="G681" s="712"/>
      <c r="H681" s="352"/>
      <c r="I681" s="353"/>
    </row>
    <row r="682" spans="1:9" hidden="1">
      <c r="A682" s="310"/>
      <c r="B682" s="310"/>
      <c r="C682" s="310">
        <v>3020</v>
      </c>
      <c r="D682" s="354">
        <f>6600</f>
        <v>6600</v>
      </c>
      <c r="E682" s="310"/>
      <c r="F682" s="354"/>
      <c r="G682" s="310"/>
      <c r="H682" s="352"/>
      <c r="I682" s="353"/>
    </row>
    <row r="683" spans="1:9" hidden="1">
      <c r="A683" s="310"/>
      <c r="B683" s="310"/>
      <c r="C683" s="310">
        <v>4010</v>
      </c>
      <c r="D683" s="354">
        <f>32000</f>
        <v>32000</v>
      </c>
      <c r="E683" s="310"/>
      <c r="F683" s="354"/>
      <c r="G683" s="310"/>
      <c r="H683" s="352"/>
      <c r="I683" s="353"/>
    </row>
    <row r="684" spans="1:9" hidden="1">
      <c r="A684" s="310"/>
      <c r="B684" s="310"/>
      <c r="C684" s="310">
        <v>4110</v>
      </c>
      <c r="D684" s="354">
        <f>7100</f>
        <v>7100</v>
      </c>
      <c r="E684" s="310"/>
      <c r="F684" s="354"/>
      <c r="G684" s="310"/>
      <c r="H684" s="352"/>
      <c r="I684" s="353"/>
    </row>
    <row r="685" spans="1:9" hidden="1">
      <c r="A685" s="310"/>
      <c r="B685" s="310"/>
      <c r="C685" s="310">
        <v>4120</v>
      </c>
      <c r="D685" s="354">
        <f>1000</f>
        <v>1000</v>
      </c>
      <c r="E685" s="310"/>
      <c r="F685" s="354"/>
      <c r="G685" s="310"/>
      <c r="H685" s="352"/>
      <c r="I685" s="353"/>
    </row>
    <row r="686" spans="1:9" hidden="1">
      <c r="A686" s="310"/>
      <c r="B686" s="310"/>
      <c r="C686" s="310"/>
      <c r="D686" s="358">
        <f>SUM(D682:D685)</f>
        <v>46700</v>
      </c>
      <c r="E686" s="310"/>
      <c r="F686" s="354"/>
      <c r="G686" s="310"/>
      <c r="H686" s="352"/>
      <c r="I686" s="353"/>
    </row>
    <row r="687" spans="1:9" hidden="1">
      <c r="A687" s="714" t="s">
        <v>240</v>
      </c>
      <c r="B687" s="712"/>
      <c r="C687" s="712"/>
      <c r="D687" s="712"/>
      <c r="E687" s="310"/>
      <c r="F687" s="354"/>
      <c r="G687" s="310"/>
      <c r="H687" s="352"/>
      <c r="I687" s="353"/>
    </row>
    <row r="688" spans="1:9" ht="15" hidden="1" customHeight="1">
      <c r="A688" s="716" t="s">
        <v>369</v>
      </c>
      <c r="B688" s="716"/>
      <c r="C688" s="716"/>
      <c r="D688" s="716"/>
      <c r="E688" s="310"/>
      <c r="F688" s="354"/>
      <c r="G688" s="310"/>
      <c r="H688" s="352"/>
      <c r="I688" s="353"/>
    </row>
    <row r="689" spans="1:10" ht="15" hidden="1" customHeight="1">
      <c r="A689" s="713" t="s">
        <v>72</v>
      </c>
      <c r="B689" s="713"/>
      <c r="C689" s="713"/>
      <c r="D689" s="713"/>
      <c r="E689" s="310"/>
      <c r="F689" s="354"/>
      <c r="G689" s="310"/>
      <c r="H689" s="352"/>
      <c r="I689" s="353"/>
    </row>
    <row r="690" spans="1:10" hidden="1">
      <c r="A690" s="713" t="s">
        <v>70</v>
      </c>
      <c r="B690" s="713"/>
      <c r="C690" s="713"/>
      <c r="D690" s="713"/>
      <c r="E690" s="310"/>
      <c r="F690" s="354"/>
      <c r="G690" s="310"/>
      <c r="H690" s="352"/>
      <c r="I690" s="353"/>
    </row>
    <row r="691" spans="1:10" ht="15" hidden="1" customHeight="1">
      <c r="A691" s="713" t="s">
        <v>352</v>
      </c>
      <c r="B691" s="713"/>
      <c r="C691" s="713"/>
      <c r="D691" s="713"/>
      <c r="E691" s="310"/>
      <c r="F691" s="354"/>
      <c r="G691" s="310"/>
      <c r="H691" s="352"/>
      <c r="I691" s="353"/>
    </row>
    <row r="692" spans="1:10" hidden="1">
      <c r="A692" s="713" t="s">
        <v>71</v>
      </c>
      <c r="B692" s="713"/>
      <c r="C692" s="713"/>
      <c r="D692" s="713"/>
      <c r="E692" s="310"/>
      <c r="F692" s="354"/>
      <c r="G692" s="310"/>
      <c r="H692" s="352"/>
      <c r="I692" s="353"/>
    </row>
    <row r="693" spans="1:10" hidden="1">
      <c r="A693" s="351"/>
      <c r="B693" s="351"/>
      <c r="C693" s="351">
        <v>3020</v>
      </c>
      <c r="D693" s="359">
        <v>7800</v>
      </c>
      <c r="E693" s="310"/>
      <c r="F693" s="354"/>
      <c r="G693" s="310"/>
      <c r="H693" s="352"/>
      <c r="I693" s="353"/>
    </row>
    <row r="694" spans="1:10" hidden="1">
      <c r="A694" s="351"/>
      <c r="B694" s="351"/>
      <c r="C694" s="351">
        <v>4010</v>
      </c>
      <c r="D694" s="359">
        <v>45000</v>
      </c>
      <c r="E694" s="310"/>
      <c r="F694" s="354"/>
      <c r="G694" s="310"/>
      <c r="H694" s="352"/>
      <c r="I694" s="353"/>
    </row>
    <row r="695" spans="1:10" hidden="1">
      <c r="A695" s="351"/>
      <c r="B695" s="351"/>
      <c r="C695" s="351">
        <v>4110</v>
      </c>
      <c r="D695" s="359">
        <v>9300</v>
      </c>
      <c r="E695" s="310"/>
      <c r="F695" s="354"/>
      <c r="G695" s="310"/>
      <c r="H695" s="352"/>
      <c r="I695" s="353"/>
    </row>
    <row r="696" spans="1:10" hidden="1">
      <c r="A696" s="351"/>
      <c r="B696" s="351"/>
      <c r="C696" s="351">
        <v>4120</v>
      </c>
      <c r="D696" s="359">
        <v>1300</v>
      </c>
      <c r="E696" s="310"/>
      <c r="F696" s="354"/>
      <c r="G696" s="310"/>
      <c r="H696" s="352"/>
      <c r="I696" s="353"/>
    </row>
    <row r="697" spans="1:10" hidden="1">
      <c r="A697" s="351"/>
      <c r="B697" s="351"/>
      <c r="C697" s="351"/>
      <c r="D697" s="359">
        <f>SUM(D693:D696)</f>
        <v>63400</v>
      </c>
      <c r="E697" s="310"/>
      <c r="F697" s="354"/>
      <c r="G697" s="310"/>
      <c r="H697" s="352"/>
      <c r="I697" s="353"/>
    </row>
    <row r="698" spans="1:10" hidden="1">
      <c r="A698" s="717" t="s">
        <v>668</v>
      </c>
      <c r="B698" s="717"/>
      <c r="C698" s="717"/>
      <c r="D698" s="717"/>
      <c r="E698" s="304"/>
      <c r="F698" s="304"/>
      <c r="G698" s="346"/>
    </row>
    <row r="699" spans="1:10" ht="15" hidden="1" customHeight="1">
      <c r="A699" s="718" t="s">
        <v>303</v>
      </c>
      <c r="B699" s="719"/>
      <c r="C699" s="719"/>
      <c r="D699" s="719"/>
      <c r="E699" s="719"/>
      <c r="F699" s="719"/>
      <c r="G699" s="719"/>
    </row>
    <row r="700" spans="1:10" ht="15" hidden="1" customHeight="1">
      <c r="A700" s="360"/>
      <c r="B700" s="361"/>
      <c r="C700" s="361"/>
      <c r="D700" s="362" t="s">
        <v>131</v>
      </c>
      <c r="E700" s="361"/>
      <c r="F700" s="363">
        <f>F664-585000</f>
        <v>-585000</v>
      </c>
      <c r="G700" s="361"/>
      <c r="H700" s="274">
        <f>H664-F661</f>
        <v>-43791735</v>
      </c>
      <c r="I700" s="298"/>
    </row>
    <row r="701" spans="1:10" ht="18" customHeight="1">
      <c r="A701" s="718"/>
      <c r="B701" s="719"/>
      <c r="C701" s="719"/>
      <c r="D701" s="719"/>
      <c r="E701" s="719"/>
      <c r="F701" s="719"/>
      <c r="G701" s="719"/>
      <c r="J701" s="364"/>
    </row>
    <row r="702" spans="1:10" ht="15" customHeight="1">
      <c r="A702" s="720" t="s">
        <v>371</v>
      </c>
      <c r="B702" s="721"/>
      <c r="C702" s="722"/>
      <c r="D702" s="459" t="s">
        <v>722</v>
      </c>
      <c r="E702" s="459" t="s">
        <v>723</v>
      </c>
      <c r="F702" s="366" t="s">
        <v>310</v>
      </c>
      <c r="G702" s="367"/>
    </row>
    <row r="703" spans="1:10" ht="17.25" customHeight="1">
      <c r="A703" s="726" t="s">
        <v>255</v>
      </c>
      <c r="B703" s="726"/>
      <c r="C703" s="726"/>
      <c r="D703" s="368">
        <f>SUM(E39+E46+E53+E57+E61+E140+E144+E151+E155+E159+E316+E320+E327+E331+E335+E399+E402+E405+E407+E409+E554+E558+E564+E568+E572+E486+E489+E491+E493+E469+E472+E475+E477+E507+E510+E513+E516)</f>
        <v>22956505</v>
      </c>
      <c r="E703" s="368">
        <f>SUM(F39+F46+F53+F57+F61+F140+F144+F151+F155+F159+F316+F320+F327+F331+F335+F399+F402+F405+F407+F409+F554+F558+F564+F568+F572+F486+F489+F491+F493+F469+F472+F475+F477+F507+F510+F513+F516)</f>
        <v>25313090</v>
      </c>
      <c r="F703" s="369">
        <f t="shared" ref="F703:F710" si="17">E703-D703</f>
        <v>2356585</v>
      </c>
      <c r="G703" s="370">
        <f>SUM(E703/D703)</f>
        <v>1.1026543456854605</v>
      </c>
      <c r="I703" s="274"/>
    </row>
    <row r="704" spans="1:10" ht="25.5" customHeight="1">
      <c r="A704" s="726" t="s">
        <v>257</v>
      </c>
      <c r="B704" s="726"/>
      <c r="C704" s="726"/>
      <c r="D704" s="368">
        <f>SUM(E223+E226+E231+E234+E237+E468+E471+E474+E478)</f>
        <v>3034560</v>
      </c>
      <c r="E704" s="368">
        <f>SUM(F223+F226+F231+F234+F237+F468+F471+F474+F478)</f>
        <v>3412200</v>
      </c>
      <c r="F704" s="369">
        <f t="shared" si="17"/>
        <v>377640</v>
      </c>
      <c r="G704" s="370">
        <f t="shared" ref="G704:G710" si="18">SUM(E704/D704)</f>
        <v>1.1244463777285669</v>
      </c>
      <c r="I704" s="274"/>
    </row>
    <row r="705" spans="1:11" ht="17.25" customHeight="1">
      <c r="A705" s="726" t="s">
        <v>256</v>
      </c>
      <c r="B705" s="726"/>
      <c r="C705" s="726"/>
      <c r="D705" s="368">
        <f>SUM(E5+E8+E10+E11)</f>
        <v>1192940</v>
      </c>
      <c r="E705" s="368">
        <f>SUM(F5+F8+F10+F11)</f>
        <v>1221150</v>
      </c>
      <c r="F705" s="369">
        <f t="shared" si="17"/>
        <v>28210</v>
      </c>
      <c r="G705" s="370">
        <f t="shared" si="18"/>
        <v>1.0236474592184015</v>
      </c>
      <c r="I705" s="274"/>
    </row>
    <row r="706" spans="1:11" ht="66.75" customHeight="1">
      <c r="A706" s="727" t="s">
        <v>572</v>
      </c>
      <c r="B706" s="728"/>
      <c r="C706" s="729"/>
      <c r="D706" s="368">
        <f>D710-D703-D704-D705-D708-D709-D707</f>
        <v>4159339</v>
      </c>
      <c r="E706" s="368">
        <f>E710-E703-E704-E705-E708-E709-E707</f>
        <v>3889139</v>
      </c>
      <c r="F706" s="369">
        <f t="shared" si="17"/>
        <v>-270200</v>
      </c>
      <c r="G706" s="370">
        <f t="shared" si="18"/>
        <v>0.93503775479709639</v>
      </c>
      <c r="I706" s="298"/>
      <c r="K706" s="274"/>
    </row>
    <row r="707" spans="1:11" ht="16.5" customHeight="1">
      <c r="A707" s="730" t="s">
        <v>370</v>
      </c>
      <c r="B707" s="721"/>
      <c r="C707" s="722"/>
      <c r="D707" s="368">
        <f>SUM(E96+E259+E359+E18+E421+E500)</f>
        <v>110370</v>
      </c>
      <c r="E707" s="368">
        <f>SUM(F96+F259+F359+F18+F421+F500)</f>
        <v>84100</v>
      </c>
      <c r="F707" s="369">
        <f t="shared" si="17"/>
        <v>-26270</v>
      </c>
      <c r="G707" s="370">
        <f t="shared" si="18"/>
        <v>0.76198242275980788</v>
      </c>
      <c r="I707" s="274"/>
      <c r="K707" s="274"/>
    </row>
    <row r="708" spans="1:11" ht="15.75" customHeight="1">
      <c r="A708" s="730" t="s">
        <v>35</v>
      </c>
      <c r="B708" s="731"/>
      <c r="C708" s="732"/>
      <c r="D708" s="368">
        <f>E123+E179+E282+E386+E30+E434+E590</f>
        <v>1016228</v>
      </c>
      <c r="E708" s="368">
        <f>F123+F179+F282+F386+F30+F434+F590</f>
        <v>1079348</v>
      </c>
      <c r="F708" s="369">
        <f>E708-D708</f>
        <v>63120</v>
      </c>
      <c r="G708" s="370">
        <f t="shared" si="18"/>
        <v>1.062112045722023</v>
      </c>
      <c r="I708" s="274"/>
      <c r="K708" s="274"/>
    </row>
    <row r="709" spans="1:11" ht="14.25" customHeight="1">
      <c r="A709" s="371" t="s">
        <v>34</v>
      </c>
      <c r="B709" s="372"/>
      <c r="C709" s="372"/>
      <c r="D709" s="368">
        <f>E134+E138+E222+E315+E660+E604+E455+E37</f>
        <v>7896929</v>
      </c>
      <c r="E709" s="368">
        <f>F134+F138+F222+F315+F660+F604+F455+F37</f>
        <v>8792708</v>
      </c>
      <c r="F709" s="369">
        <f t="shared" si="17"/>
        <v>895779</v>
      </c>
      <c r="G709" s="370">
        <f t="shared" si="18"/>
        <v>1.1134338424468551</v>
      </c>
      <c r="I709" s="274"/>
      <c r="K709" s="274"/>
    </row>
    <row r="710" spans="1:11" ht="17.25" customHeight="1">
      <c r="A710" s="725" t="s">
        <v>36</v>
      </c>
      <c r="B710" s="721"/>
      <c r="C710" s="722"/>
      <c r="D710" s="373">
        <f>E661</f>
        <v>40366871</v>
      </c>
      <c r="E710" s="373">
        <f>F661</f>
        <v>43791735</v>
      </c>
      <c r="F710" s="374">
        <f t="shared" si="17"/>
        <v>3424864</v>
      </c>
      <c r="G710" s="370">
        <f t="shared" si="18"/>
        <v>1.0848434351030081</v>
      </c>
      <c r="I710" s="274"/>
      <c r="K710" s="274"/>
    </row>
    <row r="711" spans="1:11" ht="17.25" customHeight="1">
      <c r="A711" s="375"/>
      <c r="B711" s="376"/>
      <c r="C711" s="376"/>
      <c r="D711" s="377"/>
      <c r="E711" s="377"/>
      <c r="F711" s="378">
        <f>F710-F709</f>
        <v>2529085</v>
      </c>
      <c r="G711" s="379"/>
      <c r="I711" s="274"/>
      <c r="K711" s="274"/>
    </row>
    <row r="712" spans="1:11" ht="17.25" customHeight="1">
      <c r="A712" s="380"/>
      <c r="B712" s="381"/>
      <c r="C712" s="381"/>
      <c r="D712" s="377"/>
      <c r="E712" s="377"/>
      <c r="F712" s="378"/>
      <c r="G712" s="379"/>
      <c r="I712" s="274"/>
      <c r="K712" s="274"/>
    </row>
    <row r="713" spans="1:11" ht="26.25" customHeight="1">
      <c r="A713" s="382"/>
      <c r="B713" s="383"/>
      <c r="C713" s="383"/>
      <c r="D713" s="365" t="s">
        <v>570</v>
      </c>
      <c r="E713" s="365" t="s">
        <v>571</v>
      </c>
      <c r="F713" s="384" t="s">
        <v>37</v>
      </c>
      <c r="G713" s="379"/>
      <c r="I713" s="274"/>
      <c r="K713" s="274"/>
    </row>
    <row r="714" spans="1:11" ht="17.25" customHeight="1">
      <c r="A714" s="777" t="s">
        <v>64</v>
      </c>
      <c r="B714" s="778"/>
      <c r="C714" s="778"/>
      <c r="D714" s="374">
        <f>D710</f>
        <v>40366871</v>
      </c>
      <c r="E714" s="374">
        <f>F661</f>
        <v>43791735</v>
      </c>
      <c r="F714" s="369"/>
      <c r="G714" s="379"/>
      <c r="I714" s="274"/>
      <c r="K714" s="274"/>
    </row>
    <row r="715" spans="1:11" ht="28.5" customHeight="1">
      <c r="A715" s="779" t="s">
        <v>44</v>
      </c>
      <c r="B715" s="779"/>
      <c r="C715" s="779"/>
      <c r="D715" s="369">
        <f>E133+E394+E438+E594+E398+E454</f>
        <v>24700710</v>
      </c>
      <c r="E715" s="369">
        <f>F133+F394+F438+F594+F398+F454+F485+F506</f>
        <v>29934211</v>
      </c>
      <c r="F715" s="385">
        <f t="shared" ref="F715:F720" si="19">E715/$E$714</f>
        <v>0.6835584614311353</v>
      </c>
      <c r="G715" s="386"/>
    </row>
    <row r="716" spans="1:11" ht="20.25" customHeight="1">
      <c r="A716" s="772" t="s">
        <v>63</v>
      </c>
      <c r="B716" s="773"/>
      <c r="C716" s="773"/>
      <c r="D716" s="369">
        <v>18561099</v>
      </c>
      <c r="E716" s="369">
        <v>19298004</v>
      </c>
      <c r="F716" s="385">
        <f t="shared" si="19"/>
        <v>0.44067685374877247</v>
      </c>
      <c r="G716" s="386"/>
      <c r="I716" s="298"/>
    </row>
    <row r="717" spans="1:11" ht="18.75" customHeight="1">
      <c r="A717" s="776" t="s">
        <v>308</v>
      </c>
      <c r="B717" s="721"/>
      <c r="C717" s="722"/>
      <c r="D717" s="274">
        <v>1086410</v>
      </c>
      <c r="E717" s="369">
        <v>904488</v>
      </c>
      <c r="F717" s="385">
        <f t="shared" si="19"/>
        <v>2.0654308398605353E-2</v>
      </c>
      <c r="G717" s="386"/>
      <c r="I717" s="298"/>
    </row>
    <row r="718" spans="1:11" ht="24.75" customHeight="1">
      <c r="A718" s="774" t="s">
        <v>311</v>
      </c>
      <c r="B718" s="775"/>
      <c r="C718" s="775"/>
      <c r="D718" s="369">
        <f>SUM(D715-D716-D717)</f>
        <v>5053201</v>
      </c>
      <c r="E718" s="369">
        <f>SUM(E715-E716-E717)</f>
        <v>9731719</v>
      </c>
      <c r="F718" s="385">
        <f t="shared" si="19"/>
        <v>0.22222729928375753</v>
      </c>
      <c r="G718" s="386"/>
      <c r="I718" s="298"/>
    </row>
    <row r="719" spans="1:11" ht="27" customHeight="1">
      <c r="A719" s="774" t="s">
        <v>254</v>
      </c>
      <c r="B719" s="775"/>
      <c r="C719" s="775"/>
      <c r="D719" s="369">
        <f>SUM(D714-D716-D717-D718)</f>
        <v>15666161</v>
      </c>
      <c r="E719" s="369">
        <f>SUM(E714-E716-E717-E718)</f>
        <v>13857524</v>
      </c>
      <c r="F719" s="385">
        <f t="shared" si="19"/>
        <v>0.31644153856886464</v>
      </c>
      <c r="G719" s="386"/>
    </row>
    <row r="720" spans="1:11">
      <c r="A720" s="387" t="s">
        <v>473</v>
      </c>
      <c r="B720" s="387"/>
      <c r="C720" s="387"/>
      <c r="D720" s="369">
        <f>SUM(D715+D719)</f>
        <v>40366871</v>
      </c>
      <c r="E720" s="369">
        <f>SUM(E715+E719)</f>
        <v>43791735</v>
      </c>
      <c r="F720" s="385">
        <f t="shared" si="19"/>
        <v>1</v>
      </c>
      <c r="G720" s="388"/>
    </row>
    <row r="721" spans="1:8">
      <c r="A721" s="388"/>
      <c r="B721" s="388"/>
      <c r="C721" s="388"/>
      <c r="D721" s="389"/>
      <c r="E721" s="389"/>
      <c r="F721" s="389"/>
      <c r="G721" s="388"/>
    </row>
    <row r="722" spans="1:8" ht="15.75" customHeight="1">
      <c r="A722" s="388"/>
      <c r="B722" s="388"/>
      <c r="C722" s="388"/>
      <c r="D722" s="389" t="s">
        <v>276</v>
      </c>
      <c r="E722" s="389"/>
      <c r="F722" s="390">
        <f>SUM(F723:F725)</f>
        <v>18160579</v>
      </c>
      <c r="G722" s="388"/>
    </row>
    <row r="723" spans="1:8">
      <c r="D723" s="275" t="s">
        <v>277</v>
      </c>
      <c r="E723" s="298">
        <f>'Zbiorczo-paragr'!E39+'Zbiorczo-paragr'!E46+'Zbiorczo-paragr'!E57+'ZS Mich'!E26+'ZS Mich'!E130+'ZSP NW'!E167+'ZSP NW'!E170+'ZSP NW'!E172+'ZSP NW'!E174+'ZSO Kom'!E147+'ZSO Kom'!E149+'ZSO Kom'!E151+'ZSO Kom'!E153</f>
        <v>13258646</v>
      </c>
      <c r="F723" s="298">
        <f>'Zbiorczo-paragr'!F39+'Zbiorczo-paragr'!F46+'Zbiorczo-paragr'!F57+'ZS Mich'!F111+'ZS Mich'!F114+'ZS Mich'!F116+'ZS Mich'!F118+'ZSP NW'!F167+'ZSP NW'!F170+'ZSP NW'!F172+'ZSP NW'!F174+'ZSO Kom'!F147+'ZSO Kom'!F149+'ZSO Kom'!F151+'ZSO Kom'!F153</f>
        <v>16642420</v>
      </c>
      <c r="G723" s="723">
        <f>F723-E723</f>
        <v>3383774</v>
      </c>
      <c r="H723" s="724"/>
    </row>
    <row r="724" spans="1:8">
      <c r="D724" s="275" t="s">
        <v>278</v>
      </c>
      <c r="E724" s="298">
        <f>E53</f>
        <v>695000</v>
      </c>
      <c r="F724" s="298">
        <f>F53</f>
        <v>888000</v>
      </c>
      <c r="G724" s="723">
        <f>F724-E724</f>
        <v>193000</v>
      </c>
      <c r="H724" s="724"/>
    </row>
    <row r="725" spans="1:8">
      <c r="D725" s="275" t="s">
        <v>279</v>
      </c>
      <c r="E725" s="298">
        <f>SUM(E123)</f>
        <v>534723</v>
      </c>
      <c r="F725" s="298">
        <f>SUM(F123)</f>
        <v>630159</v>
      </c>
      <c r="G725" s="723">
        <f>F725-E725</f>
        <v>95436</v>
      </c>
      <c r="H725" s="724"/>
    </row>
    <row r="726" spans="1:8">
      <c r="E726" s="298"/>
      <c r="G726" s="391"/>
      <c r="H726" s="392"/>
    </row>
    <row r="727" spans="1:8">
      <c r="F727" s="304">
        <f>SUM(F728:F730)</f>
        <v>1460101</v>
      </c>
      <c r="H727" s="315">
        <f>SUM(G723:H725)</f>
        <v>3672210</v>
      </c>
    </row>
    <row r="728" spans="1:8">
      <c r="D728" s="275" t="s">
        <v>280</v>
      </c>
      <c r="E728" s="298">
        <f>SUM(E140+E144+E155+E159)</f>
        <v>1327039</v>
      </c>
      <c r="F728" s="298">
        <f>SUM(F140+F144+F155+F159)</f>
        <v>1314520</v>
      </c>
      <c r="H728" s="274">
        <f>SUM(F728-E728)</f>
        <v>-12519</v>
      </c>
    </row>
    <row r="729" spans="1:8">
      <c r="D729" s="275" t="s">
        <v>278</v>
      </c>
      <c r="E729" s="298">
        <f>SUM(E151)</f>
        <v>63500</v>
      </c>
      <c r="F729" s="298">
        <f>SUM(F151)</f>
        <v>81500</v>
      </c>
      <c r="H729" s="274">
        <f t="shared" ref="H729:H740" si="20">SUM(F729-E729)</f>
        <v>18000</v>
      </c>
    </row>
    <row r="730" spans="1:8">
      <c r="D730" s="275" t="s">
        <v>279</v>
      </c>
      <c r="E730" s="298">
        <f>E179</f>
        <v>55082</v>
      </c>
      <c r="F730" s="298">
        <f>F179</f>
        <v>64081</v>
      </c>
      <c r="H730" s="274">
        <f t="shared" si="20"/>
        <v>8999</v>
      </c>
    </row>
    <row r="731" spans="1:8">
      <c r="H731" s="315">
        <f>SUM(H728:H730)</f>
        <v>14480</v>
      </c>
    </row>
    <row r="732" spans="1:8">
      <c r="F732" s="304">
        <f>SUM(F733:F735)</f>
        <v>3501520</v>
      </c>
      <c r="H732" s="315"/>
    </row>
    <row r="733" spans="1:8">
      <c r="D733" s="275" t="s">
        <v>281</v>
      </c>
      <c r="E733" s="298">
        <f>SUM(E223+E226+E234+E237)</f>
        <v>2855937</v>
      </c>
      <c r="F733" s="298">
        <f>SUM(F223+F226+F234+F237)</f>
        <v>3196050</v>
      </c>
      <c r="H733" s="274">
        <f t="shared" si="20"/>
        <v>340113</v>
      </c>
    </row>
    <row r="734" spans="1:8">
      <c r="D734" s="275" t="s">
        <v>278</v>
      </c>
      <c r="E734" s="298">
        <f>SUM(E231)</f>
        <v>163000</v>
      </c>
      <c r="F734" s="298">
        <f>SUM(F231)</f>
        <v>185000</v>
      </c>
      <c r="H734" s="274">
        <f t="shared" si="20"/>
        <v>22000</v>
      </c>
    </row>
    <row r="735" spans="1:8">
      <c r="D735" s="275" t="s">
        <v>279</v>
      </c>
      <c r="E735" s="298">
        <f>SUM(E282)</f>
        <v>122982</v>
      </c>
      <c r="F735" s="298">
        <f>SUM(F282)</f>
        <v>120470</v>
      </c>
      <c r="H735" s="274">
        <f t="shared" si="20"/>
        <v>-2512</v>
      </c>
    </row>
    <row r="736" spans="1:8">
      <c r="E736" s="298"/>
    </row>
    <row r="737" spans="4:8">
      <c r="F737" s="304" t="e">
        <f>SUM(F738:F740)</f>
        <v>#REF!</v>
      </c>
      <c r="H737" s="315">
        <f>SUM(H733:H735)</f>
        <v>359601</v>
      </c>
    </row>
    <row r="738" spans="4:8">
      <c r="D738" s="275" t="s">
        <v>282</v>
      </c>
      <c r="E738" s="274" t="e">
        <f>SUM(E316+E320+E331+E335+'ZSP NW'!#REF!+'ZSP NW'!#REF!+'ZSP NW'!#REF!+'ZSP NW'!#REF!)</f>
        <v>#REF!</v>
      </c>
      <c r="F738" s="298" t="e">
        <f>SUM(F316+F320+F331+F335+'ZSP NW'!#REF!+'ZSP NW'!#REF!+'ZSP NW'!#REF!+'ZSP NW'!#REF!)</f>
        <v>#REF!</v>
      </c>
      <c r="H738" s="274" t="e">
        <f>SUM(F738-E738)</f>
        <v>#REF!</v>
      </c>
    </row>
    <row r="739" spans="4:8">
      <c r="D739" s="275" t="s">
        <v>278</v>
      </c>
      <c r="E739" s="298">
        <f>SUM(E327)</f>
        <v>286000</v>
      </c>
      <c r="F739" s="298">
        <f>SUM(F327)</f>
        <v>244400</v>
      </c>
      <c r="H739" s="274">
        <f t="shared" si="20"/>
        <v>-41600</v>
      </c>
    </row>
    <row r="740" spans="4:8">
      <c r="D740" s="275" t="s">
        <v>279</v>
      </c>
      <c r="E740" s="298">
        <f>SUM(E386)</f>
        <v>148161</v>
      </c>
      <c r="F740" s="298">
        <f>SUM(F386)</f>
        <v>93577</v>
      </c>
      <c r="H740" s="274">
        <f t="shared" si="20"/>
        <v>-54584</v>
      </c>
    </row>
    <row r="741" spans="4:8">
      <c r="E741" s="298"/>
    </row>
    <row r="742" spans="4:8">
      <c r="F742" s="304" t="e">
        <f>SUM(F743:F745)</f>
        <v>#REF!</v>
      </c>
      <c r="H742" s="315" t="e">
        <f>SUM(H738:H740)</f>
        <v>#REF!</v>
      </c>
    </row>
    <row r="743" spans="4:8">
      <c r="D743" s="275" t="s">
        <v>283</v>
      </c>
      <c r="E743" s="298" t="e">
        <f>SUM(E399+E402+E407+E409+'ZSO Kom'!#REF!+'ZSO Kom'!#REF!+'ZSO Kom'!#REF!+'ZSO Kom'!#REF!)</f>
        <v>#REF!</v>
      </c>
      <c r="F743" s="298" t="e">
        <f>SUM(F399+F402+F407+F409+'ZSO Kom'!#REF!+'ZSO Kom'!#REF!+'ZSO Kom'!#REF!+'ZSO Kom'!#REF!)</f>
        <v>#REF!</v>
      </c>
      <c r="H743" s="274" t="e">
        <f>SUM(F743-E743)</f>
        <v>#REF!</v>
      </c>
    </row>
    <row r="744" spans="4:8">
      <c r="D744" s="275" t="s">
        <v>278</v>
      </c>
      <c r="E744" s="298">
        <f>SUM(E405)</f>
        <v>93000</v>
      </c>
      <c r="F744" s="298">
        <f>SUM(F405)</f>
        <v>96000</v>
      </c>
      <c r="H744" s="274">
        <f>SUM(F744-E744)</f>
        <v>3000</v>
      </c>
    </row>
    <row r="745" spans="4:8">
      <c r="D745" s="275" t="s">
        <v>279</v>
      </c>
      <c r="E745" s="298">
        <f>SUM(E434)</f>
        <v>55668</v>
      </c>
      <c r="F745" s="298">
        <f>SUM(F434)</f>
        <v>58966</v>
      </c>
      <c r="H745" s="274">
        <f>SUM(F745-E745)</f>
        <v>3298</v>
      </c>
    </row>
    <row r="746" spans="4:8">
      <c r="E746" s="298"/>
    </row>
    <row r="747" spans="4:8">
      <c r="F747" s="304">
        <f>SUM(F748:F750)</f>
        <v>2143065</v>
      </c>
      <c r="H747" s="315" t="e">
        <f>SUM(H743:H745)</f>
        <v>#REF!</v>
      </c>
    </row>
    <row r="748" spans="4:8">
      <c r="D748" s="275" t="s">
        <v>284</v>
      </c>
      <c r="E748" s="298">
        <f>SUM(E554+E558+E568+E572)</f>
        <v>1837475</v>
      </c>
      <c r="F748" s="298">
        <f>SUM(F554+F558+F568+F572)</f>
        <v>1942500</v>
      </c>
      <c r="H748" s="274">
        <f>SUM(F748-E748)</f>
        <v>105025</v>
      </c>
    </row>
    <row r="749" spans="4:8">
      <c r="D749" s="275" t="s">
        <v>278</v>
      </c>
      <c r="E749" s="298">
        <f>SUM(E564)</f>
        <v>84800</v>
      </c>
      <c r="F749" s="298">
        <f>SUM(F564)</f>
        <v>102500</v>
      </c>
      <c r="H749" s="274">
        <f>SUM(F749-E749)</f>
        <v>17700</v>
      </c>
    </row>
    <row r="750" spans="4:8">
      <c r="D750" s="275" t="s">
        <v>279</v>
      </c>
      <c r="E750" s="298">
        <f>SUM(E590)</f>
        <v>85582</v>
      </c>
      <c r="F750" s="298">
        <f>SUM(F590)</f>
        <v>98065</v>
      </c>
      <c r="H750" s="274">
        <f>SUM(F750-E750)</f>
        <v>12483</v>
      </c>
    </row>
    <row r="751" spans="4:8">
      <c r="H751" s="315">
        <f>SUM(H748:H750)</f>
        <v>135208</v>
      </c>
    </row>
    <row r="752" spans="4:8">
      <c r="D752" s="275" t="s">
        <v>655</v>
      </c>
      <c r="E752" s="298">
        <f>'ZS Mich'!E198+'ZSP NW'!E237+'ZSO Kom'!E254</f>
        <v>660000</v>
      </c>
    </row>
    <row r="753" spans="4:5">
      <c r="D753" s="275" t="s">
        <v>657</v>
      </c>
      <c r="E753" s="298">
        <f>'ZSO Kom'!E255</f>
        <v>0</v>
      </c>
    </row>
    <row r="754" spans="4:5">
      <c r="D754" s="275" t="s">
        <v>656</v>
      </c>
      <c r="E754" s="298">
        <f>'ZSP NW'!E238</f>
        <v>0</v>
      </c>
    </row>
    <row r="755" spans="4:5">
      <c r="E755" s="298">
        <f>SUM(E752:E754)</f>
        <v>660000</v>
      </c>
    </row>
    <row r="756" spans="4:5">
      <c r="E756" s="298"/>
    </row>
    <row r="757" spans="4:5">
      <c r="E757" s="298"/>
    </row>
  </sheetData>
  <mergeCells count="114">
    <mergeCell ref="C656:C658"/>
    <mergeCell ref="A604:D604"/>
    <mergeCell ref="B656:B658"/>
    <mergeCell ref="C540:C541"/>
    <mergeCell ref="C542:C543"/>
    <mergeCell ref="A646:A654"/>
    <mergeCell ref="A594:D594"/>
    <mergeCell ref="C627:C631"/>
    <mergeCell ref="B554:B593"/>
    <mergeCell ref="C516:C518"/>
    <mergeCell ref="C519:C520"/>
    <mergeCell ref="C455:C465"/>
    <mergeCell ref="B455:B484"/>
    <mergeCell ref="A485:D485"/>
    <mergeCell ref="A506:D506"/>
    <mergeCell ref="B507:B522"/>
    <mergeCell ref="C521:C522"/>
    <mergeCell ref="A507:A522"/>
    <mergeCell ref="C510:C512"/>
    <mergeCell ref="A688:D688"/>
    <mergeCell ref="A1:G1"/>
    <mergeCell ref="A315:D315"/>
    <mergeCell ref="B134:B139"/>
    <mergeCell ref="A134:A139"/>
    <mergeCell ref="A644:D644"/>
    <mergeCell ref="C632:C635"/>
    <mergeCell ref="A605:A625"/>
    <mergeCell ref="B486:B505"/>
    <mergeCell ref="A486:A505"/>
    <mergeCell ref="A659:D659"/>
    <mergeCell ref="A661:D661"/>
    <mergeCell ref="C544:C545"/>
    <mergeCell ref="A549:D549"/>
    <mergeCell ref="C640:C643"/>
    <mergeCell ref="A548:D548"/>
    <mergeCell ref="A537:A547"/>
    <mergeCell ref="B537:B547"/>
    <mergeCell ref="C537:C539"/>
    <mergeCell ref="A554:A593"/>
    <mergeCell ref="H607:L607"/>
    <mergeCell ref="A660:D660"/>
    <mergeCell ref="A552:D552"/>
    <mergeCell ref="C637:C639"/>
    <mergeCell ref="A523:D523"/>
    <mergeCell ref="A626:D626"/>
    <mergeCell ref="C646:C654"/>
    <mergeCell ref="B605:B625"/>
    <mergeCell ref="A656:A658"/>
    <mergeCell ref="C546:C547"/>
    <mergeCell ref="J222:K222"/>
    <mergeCell ref="A655:D655"/>
    <mergeCell ref="A637:A643"/>
    <mergeCell ref="B637:B643"/>
    <mergeCell ref="B646:B654"/>
    <mergeCell ref="A627:A635"/>
    <mergeCell ref="B595:B603"/>
    <mergeCell ref="C596:C603"/>
    <mergeCell ref="A636:D636"/>
    <mergeCell ref="A645:D645"/>
    <mergeCell ref="A687:D687"/>
    <mergeCell ref="A666:F666"/>
    <mergeCell ref="A674:C674"/>
    <mergeCell ref="A669:D669"/>
    <mergeCell ref="A670:E670"/>
    <mergeCell ref="A672:G672"/>
    <mergeCell ref="A681:G681"/>
    <mergeCell ref="A668:E668"/>
    <mergeCell ref="A675:G675"/>
    <mergeCell ref="A667:E667"/>
    <mergeCell ref="A689:D689"/>
    <mergeCell ref="A691:D691"/>
    <mergeCell ref="A690:D690"/>
    <mergeCell ref="A703:C703"/>
    <mergeCell ref="A702:C702"/>
    <mergeCell ref="A698:D698"/>
    <mergeCell ref="A701:G701"/>
    <mergeCell ref="A699:G699"/>
    <mergeCell ref="A665:G665"/>
    <mergeCell ref="A662:C662"/>
    <mergeCell ref="A536:D536"/>
    <mergeCell ref="G724:H724"/>
    <mergeCell ref="A719:C719"/>
    <mergeCell ref="A714:C714"/>
    <mergeCell ref="A710:C710"/>
    <mergeCell ref="A715:C715"/>
    <mergeCell ref="B627:B635"/>
    <mergeCell ref="A692:D692"/>
    <mergeCell ref="G725:H725"/>
    <mergeCell ref="G723:H723"/>
    <mergeCell ref="A704:C704"/>
    <mergeCell ref="A705:C705"/>
    <mergeCell ref="A706:C706"/>
    <mergeCell ref="A716:C716"/>
    <mergeCell ref="A718:C718"/>
    <mergeCell ref="A708:C708"/>
    <mergeCell ref="A717:C717"/>
    <mergeCell ref="A707:C707"/>
    <mergeCell ref="A133:D133"/>
    <mergeCell ref="A183:D183"/>
    <mergeCell ref="C136:C137"/>
    <mergeCell ref="A222:D222"/>
    <mergeCell ref="A398:D398"/>
    <mergeCell ref="C507:C509"/>
    <mergeCell ref="A438:D438"/>
    <mergeCell ref="C513:C515"/>
    <mergeCell ref="A455:A484"/>
    <mergeCell ref="A3:A35"/>
    <mergeCell ref="B3:B35"/>
    <mergeCell ref="A394:D394"/>
    <mergeCell ref="A37:A132"/>
    <mergeCell ref="B37:B132"/>
    <mergeCell ref="A454:D454"/>
    <mergeCell ref="A291:D291"/>
    <mergeCell ref="A36:D36"/>
  </mergeCells>
  <phoneticPr fontId="4" type="noConversion"/>
  <pageMargins left="0" right="0" top="0.39370078740157483" bottom="0.39370078740157483" header="0.51181102362204722" footer="0.51181102362204722"/>
  <pageSetup paperSize="9" scale="65" orientation="portrait" r:id="rId1"/>
  <headerFooter alignWithMargins="0">
    <oddFooter>Strona &amp;P z &amp;N</oddFooter>
  </headerFooter>
  <rowBreaks count="4" manualBreakCount="4">
    <brk id="56" max="16383" man="1"/>
    <brk id="536" max="6" man="1"/>
    <brk id="594" max="6" man="1"/>
    <brk id="661" max="6" man="1"/>
  </rowBreaks>
  <colBreaks count="1" manualBreakCount="1">
    <brk id="7" max="1048575" man="1"/>
  </colBreaks>
</worksheet>
</file>

<file path=xl/worksheets/sheet2.xml><?xml version="1.0" encoding="utf-8"?>
<worksheet xmlns="http://schemas.openxmlformats.org/spreadsheetml/2006/main" xmlns:r="http://schemas.openxmlformats.org/officeDocument/2006/relationships">
  <sheetPr codeName="Arkusz3"/>
  <dimension ref="A1:M248"/>
  <sheetViews>
    <sheetView showGridLines="0" topLeftCell="A146" zoomScale="95" zoomScaleNormal="95" zoomScaleSheetLayoutView="100" workbookViewId="0">
      <selection activeCell="D18" sqref="D18"/>
    </sheetView>
  </sheetViews>
  <sheetFormatPr defaultRowHeight="15"/>
  <cols>
    <col min="1" max="1" width="4.5703125" style="197" customWidth="1"/>
    <col min="2" max="2" width="6.5703125" style="197" customWidth="1"/>
    <col min="3" max="3" width="6.140625" style="197" customWidth="1"/>
    <col min="4" max="4" width="71.42578125" style="197" customWidth="1"/>
    <col min="5" max="5" width="13.85546875" style="197" customWidth="1"/>
    <col min="6" max="6" width="13.140625" style="197" customWidth="1"/>
    <col min="7" max="7" width="8.85546875" style="250" customWidth="1"/>
    <col min="8" max="8" width="12.85546875" style="197" customWidth="1"/>
    <col min="9" max="10" width="9.140625" style="197"/>
    <col min="11" max="11" width="12.140625" style="197" bestFit="1" customWidth="1"/>
    <col min="12" max="16384" width="9.140625" style="197"/>
  </cols>
  <sheetData>
    <row r="1" spans="1:10" s="189" customFormat="1" ht="18.75" customHeight="1">
      <c r="A1" s="526" t="s">
        <v>713</v>
      </c>
      <c r="B1" s="550"/>
      <c r="C1" s="550"/>
      <c r="D1" s="550"/>
      <c r="E1" s="550"/>
      <c r="F1" s="550"/>
      <c r="G1" s="550"/>
      <c r="H1" s="188"/>
      <c r="I1" s="188"/>
      <c r="J1" s="188"/>
    </row>
    <row r="2" spans="1:10" s="189" customFormat="1" ht="51" customHeight="1">
      <c r="A2" s="190" t="s">
        <v>287</v>
      </c>
      <c r="B2" s="190" t="s">
        <v>406</v>
      </c>
      <c r="C2" s="190" t="s">
        <v>368</v>
      </c>
      <c r="D2" s="191" t="s">
        <v>367</v>
      </c>
      <c r="E2" s="16" t="s">
        <v>687</v>
      </c>
      <c r="F2" s="16" t="s">
        <v>688</v>
      </c>
      <c r="G2" s="192" t="s">
        <v>331</v>
      </c>
      <c r="H2" s="188"/>
      <c r="I2" s="188"/>
      <c r="J2" s="188"/>
    </row>
    <row r="3" spans="1:10" ht="18" customHeight="1">
      <c r="A3" s="190">
        <f>'Zbiorczo-paragr'!A37</f>
        <v>801</v>
      </c>
      <c r="B3" s="190">
        <f>'Zbiorczo-paragr'!B37</f>
        <v>80101</v>
      </c>
      <c r="C3" s="190">
        <f>'Zbiorczo-paragr'!C39</f>
        <v>3020</v>
      </c>
      <c r="D3" s="193" t="str">
        <f>'Zbiorczo-paragr'!D39</f>
        <v xml:space="preserve">Wydatki osobowe nie zaliczone do wynagrodzeń  </v>
      </c>
      <c r="E3" s="194">
        <f>SUM(E4+E5)</f>
        <v>238676</v>
      </c>
      <c r="F3" s="195">
        <f>SUM(F4+F5)</f>
        <v>193500</v>
      </c>
      <c r="G3" s="196">
        <f>SUM(F3/E3)</f>
        <v>0.81072248571284922</v>
      </c>
      <c r="H3" s="188"/>
      <c r="I3" s="188"/>
      <c r="J3" s="188"/>
    </row>
    <row r="4" spans="1:10" ht="18.75" customHeight="1">
      <c r="A4" s="190"/>
      <c r="B4" s="198"/>
      <c r="C4" s="198"/>
      <c r="D4" s="29" t="s">
        <v>778</v>
      </c>
      <c r="E4" s="200">
        <f>238676-E5</f>
        <v>237176</v>
      </c>
      <c r="F4" s="461">
        <f>197000-5000</f>
        <v>192000</v>
      </c>
      <c r="G4" s="196">
        <f t="shared" ref="G4:G59" si="0">SUM(F4/E4)</f>
        <v>0.80952541572503123</v>
      </c>
      <c r="H4" s="202"/>
      <c r="I4" s="188"/>
      <c r="J4" s="188"/>
    </row>
    <row r="5" spans="1:10" ht="17.25" customHeight="1">
      <c r="A5" s="190"/>
      <c r="B5" s="198"/>
      <c r="C5" s="198"/>
      <c r="D5" s="199" t="s">
        <v>631</v>
      </c>
      <c r="E5" s="200">
        <v>1500</v>
      </c>
      <c r="F5" s="201">
        <v>1500</v>
      </c>
      <c r="G5" s="196">
        <f t="shared" si="0"/>
        <v>1</v>
      </c>
      <c r="H5" s="188"/>
      <c r="I5" s="188"/>
      <c r="J5" s="188"/>
    </row>
    <row r="6" spans="1:10" ht="18.75" customHeight="1">
      <c r="A6" s="190"/>
      <c r="B6" s="198"/>
      <c r="C6" s="198">
        <f>'Zbiorczo-paragr'!C46</f>
        <v>4010</v>
      </c>
      <c r="D6" s="198" t="str">
        <f>'Zbiorczo-paragr'!D46</f>
        <v xml:space="preserve">Wynagrodzenia osobowe pracowników                       </v>
      </c>
      <c r="E6" s="194">
        <f>SUM(E7:E8)</f>
        <v>2521152</v>
      </c>
      <c r="F6" s="195">
        <f>SUM(F7:F8)</f>
        <v>3585000</v>
      </c>
      <c r="G6" s="196">
        <f t="shared" si="0"/>
        <v>1.4219690046454954</v>
      </c>
      <c r="H6" s="188"/>
      <c r="I6" s="188"/>
      <c r="J6" s="188"/>
    </row>
    <row r="7" spans="1:10" ht="30.75" customHeight="1">
      <c r="A7" s="190"/>
      <c r="B7" s="198"/>
      <c r="C7" s="198"/>
      <c r="D7" s="60" t="s">
        <v>828</v>
      </c>
      <c r="E7" s="204">
        <f>2521152-E8</f>
        <v>2482852</v>
      </c>
      <c r="F7" s="205">
        <f>3650000-F8-F170</f>
        <v>3449400</v>
      </c>
      <c r="G7" s="196">
        <f t="shared" si="0"/>
        <v>1.3892894139481531</v>
      </c>
      <c r="H7" s="188"/>
      <c r="I7" s="188"/>
      <c r="J7" s="188"/>
    </row>
    <row r="8" spans="1:10" ht="19.5" customHeight="1">
      <c r="A8" s="190"/>
      <c r="B8" s="198"/>
      <c r="C8" s="198"/>
      <c r="D8" s="60" t="s">
        <v>829</v>
      </c>
      <c r="E8" s="204">
        <v>38300</v>
      </c>
      <c r="F8" s="205">
        <f>45000+50600+40000</f>
        <v>135600</v>
      </c>
      <c r="G8" s="196">
        <f t="shared" si="0"/>
        <v>3.5404699738903394</v>
      </c>
      <c r="H8" s="188"/>
      <c r="I8" s="188"/>
      <c r="J8" s="188"/>
    </row>
    <row r="9" spans="1:10" ht="34.9" customHeight="1">
      <c r="A9" s="190"/>
      <c r="B9" s="198"/>
      <c r="C9" s="198">
        <f>'Zbiorczo-paragr'!C53</f>
        <v>4040</v>
      </c>
      <c r="D9" s="198" t="s">
        <v>227</v>
      </c>
      <c r="E9" s="204">
        <v>178000</v>
      </c>
      <c r="F9" s="205">
        <v>243000</v>
      </c>
      <c r="G9" s="196">
        <f t="shared" si="0"/>
        <v>1.3651685393258426</v>
      </c>
      <c r="H9" s="188"/>
      <c r="I9" s="188"/>
      <c r="J9" s="188"/>
    </row>
    <row r="10" spans="1:10" ht="18" customHeight="1">
      <c r="A10" s="190"/>
      <c r="B10" s="198"/>
      <c r="C10" s="198">
        <f>'Zbiorczo-paragr'!C57</f>
        <v>4110</v>
      </c>
      <c r="D10" s="198" t="str">
        <f>'Zbiorczo-paragr'!D57</f>
        <v xml:space="preserve">Składki na ubezpieczenia społeczne                      </v>
      </c>
      <c r="E10" s="204">
        <v>520294</v>
      </c>
      <c r="F10" s="205">
        <f>730000-F172</f>
        <v>718000</v>
      </c>
      <c r="G10" s="196">
        <f t="shared" si="0"/>
        <v>1.3799890062157165</v>
      </c>
      <c r="H10" s="188"/>
      <c r="I10" s="188"/>
      <c r="J10" s="188"/>
    </row>
    <row r="11" spans="1:10" ht="16.5" customHeight="1">
      <c r="A11" s="190"/>
      <c r="B11" s="198"/>
      <c r="C11" s="198">
        <f>'Zbiorczo-paragr'!C61</f>
        <v>4120</v>
      </c>
      <c r="D11" s="198" t="str">
        <f>'Zbiorczo-paragr'!D61</f>
        <v xml:space="preserve">Składki na Fundusz Pracy                                </v>
      </c>
      <c r="E11" s="204">
        <v>66885</v>
      </c>
      <c r="F11" s="205">
        <f>95000-F174</f>
        <v>93300</v>
      </c>
      <c r="G11" s="196">
        <f t="shared" si="0"/>
        <v>1.3949315990132316</v>
      </c>
      <c r="H11" s="188"/>
      <c r="I11" s="188"/>
      <c r="J11" s="188"/>
    </row>
    <row r="12" spans="1:10" ht="14.25" customHeight="1">
      <c r="A12" s="190"/>
      <c r="B12" s="198"/>
      <c r="C12" s="198">
        <f>'Zbiorczo-paragr'!C65</f>
        <v>4140</v>
      </c>
      <c r="D12" s="198" t="str">
        <f>'Zbiorczo-paragr'!D65</f>
        <v>Wpłaty na PFRON</v>
      </c>
      <c r="E12" s="204">
        <v>14500</v>
      </c>
      <c r="F12" s="205">
        <v>0</v>
      </c>
      <c r="G12" s="196">
        <f t="shared" si="0"/>
        <v>0</v>
      </c>
      <c r="H12" s="188"/>
      <c r="I12" s="188"/>
      <c r="J12" s="188"/>
    </row>
    <row r="13" spans="1:10" ht="18" hidden="1" customHeight="1">
      <c r="A13" s="190"/>
      <c r="B13" s="198"/>
      <c r="C13" s="198">
        <f>'Zbiorczo-paragr'!C69</f>
        <v>4170</v>
      </c>
      <c r="D13" s="198" t="str">
        <f>'Zbiorczo-paragr'!D69</f>
        <v>Wynagrodzenia bezosobowe</v>
      </c>
      <c r="E13" s="206">
        <f>SUM(E14:E14)</f>
        <v>0</v>
      </c>
      <c r="F13" s="207">
        <f>SUM(F14:F14)</f>
        <v>0</v>
      </c>
      <c r="G13" s="196" t="e">
        <f t="shared" si="0"/>
        <v>#DIV/0!</v>
      </c>
      <c r="H13" s="188"/>
      <c r="I13" s="188"/>
      <c r="J13" s="188"/>
    </row>
    <row r="14" spans="1:10" ht="45" hidden="1" customHeight="1">
      <c r="A14" s="190"/>
      <c r="B14" s="198"/>
      <c r="C14" s="198"/>
      <c r="D14" s="198" t="s">
        <v>220</v>
      </c>
      <c r="E14" s="204">
        <v>0</v>
      </c>
      <c r="F14" s="205">
        <v>0</v>
      </c>
      <c r="G14" s="196" t="e">
        <f t="shared" si="0"/>
        <v>#DIV/0!</v>
      </c>
      <c r="H14" s="202"/>
      <c r="I14" s="188"/>
      <c r="J14" s="188"/>
    </row>
    <row r="15" spans="1:10" ht="17.25" customHeight="1">
      <c r="A15" s="190"/>
      <c r="B15" s="198"/>
      <c r="C15" s="198">
        <v>4190</v>
      </c>
      <c r="D15" s="198" t="str">
        <f>'Zbiorczo-paragr'!D73</f>
        <v>Nagrody konkursowe</v>
      </c>
      <c r="E15" s="204">
        <f>E16</f>
        <v>2700</v>
      </c>
      <c r="F15" s="205">
        <f>F16</f>
        <v>3000</v>
      </c>
      <c r="G15" s="196">
        <f t="shared" si="0"/>
        <v>1.1111111111111112</v>
      </c>
      <c r="H15" s="202"/>
      <c r="I15" s="188"/>
      <c r="J15" s="188"/>
    </row>
    <row r="16" spans="1:10" ht="21" customHeight="1">
      <c r="A16" s="190"/>
      <c r="B16" s="198"/>
      <c r="C16" s="198"/>
      <c r="D16" s="198" t="s">
        <v>456</v>
      </c>
      <c r="E16" s="204">
        <v>2700</v>
      </c>
      <c r="F16" s="205">
        <v>3000</v>
      </c>
      <c r="G16" s="196">
        <f t="shared" si="0"/>
        <v>1.1111111111111112</v>
      </c>
      <c r="H16" s="202"/>
      <c r="I16" s="188"/>
      <c r="J16" s="188"/>
    </row>
    <row r="17" spans="1:11" ht="18.75" customHeight="1">
      <c r="A17" s="190"/>
      <c r="B17" s="198"/>
      <c r="C17" s="198">
        <f>'Zbiorczo-paragr'!C77</f>
        <v>4210</v>
      </c>
      <c r="D17" s="198" t="str">
        <f>'Zbiorczo-paragr'!D77</f>
        <v xml:space="preserve">Zakup materiałów i wyposażenia                          </v>
      </c>
      <c r="E17" s="194">
        <f>SUM(E18:E19)</f>
        <v>55000</v>
      </c>
      <c r="F17" s="195">
        <f>SUM(F18:F19)</f>
        <v>61000</v>
      </c>
      <c r="G17" s="196">
        <f t="shared" si="0"/>
        <v>1.1090909090909091</v>
      </c>
      <c r="H17" s="188"/>
      <c r="I17" s="188"/>
      <c r="J17" s="188"/>
    </row>
    <row r="18" spans="1:11" ht="63" customHeight="1">
      <c r="A18" s="190"/>
      <c r="B18" s="198"/>
      <c r="C18" s="198"/>
      <c r="D18" s="21" t="s">
        <v>830</v>
      </c>
      <c r="E18" s="200">
        <v>55000</v>
      </c>
      <c r="F18" s="201">
        <v>61000</v>
      </c>
      <c r="G18" s="196">
        <f t="shared" si="0"/>
        <v>1.1090909090909091</v>
      </c>
      <c r="H18" s="202"/>
      <c r="I18" s="202"/>
      <c r="J18" s="202"/>
      <c r="K18" s="209"/>
    </row>
    <row r="19" spans="1:11" ht="18.75" hidden="1" customHeight="1">
      <c r="A19" s="190"/>
      <c r="B19" s="198"/>
      <c r="C19" s="198"/>
      <c r="D19" s="199" t="s">
        <v>381</v>
      </c>
      <c r="E19" s="200">
        <v>0</v>
      </c>
      <c r="F19" s="201">
        <v>0</v>
      </c>
      <c r="G19" s="196" t="e">
        <f t="shared" si="0"/>
        <v>#DIV/0!</v>
      </c>
      <c r="H19" s="202"/>
      <c r="I19" s="188"/>
      <c r="J19" s="188"/>
    </row>
    <row r="20" spans="1:11" ht="17.25" hidden="1" customHeight="1">
      <c r="A20" s="190"/>
      <c r="B20" s="198"/>
      <c r="C20" s="198">
        <f>'Zbiorczo-paragr'!C84</f>
        <v>4220</v>
      </c>
      <c r="D20" s="198" t="str">
        <f>'Zbiorczo-paragr'!D84</f>
        <v xml:space="preserve">Zakup środków żywności    </v>
      </c>
      <c r="E20" s="204">
        <f>E21</f>
        <v>0</v>
      </c>
      <c r="F20" s="205">
        <f>F21</f>
        <v>0</v>
      </c>
      <c r="G20" s="196" t="e">
        <f>SUM(F20/E20)</f>
        <v>#DIV/0!</v>
      </c>
      <c r="H20" s="202"/>
      <c r="I20" s="188"/>
      <c r="J20" s="188"/>
    </row>
    <row r="21" spans="1:11" ht="18.75" hidden="1" customHeight="1">
      <c r="A21" s="190"/>
      <c r="B21" s="198"/>
      <c r="C21" s="198"/>
      <c r="D21" s="199" t="s">
        <v>493</v>
      </c>
      <c r="E21" s="204">
        <v>0</v>
      </c>
      <c r="F21" s="205">
        <v>0</v>
      </c>
      <c r="G21" s="196" t="e">
        <f>SUM(F21/E21)</f>
        <v>#DIV/0!</v>
      </c>
      <c r="H21" s="202"/>
      <c r="I21" s="188"/>
      <c r="J21" s="188"/>
    </row>
    <row r="22" spans="1:11" ht="18.75" customHeight="1">
      <c r="A22" s="190"/>
      <c r="B22" s="198"/>
      <c r="C22" s="198">
        <f>'Zbiorczo-paragr'!C88</f>
        <v>4240</v>
      </c>
      <c r="D22" s="198" t="s">
        <v>18</v>
      </c>
      <c r="E22" s="206">
        <f>SUM(E23:E25)</f>
        <v>28500</v>
      </c>
      <c r="F22" s="207">
        <f>SUM(F23:F25)</f>
        <v>30000</v>
      </c>
      <c r="G22" s="196">
        <f t="shared" si="0"/>
        <v>1.0526315789473684</v>
      </c>
      <c r="H22" s="188"/>
      <c r="I22" s="188"/>
      <c r="J22" s="188"/>
    </row>
    <row r="23" spans="1:11" ht="18.75" customHeight="1">
      <c r="A23" s="190"/>
      <c r="B23" s="198"/>
      <c r="C23" s="198"/>
      <c r="D23" s="198" t="s">
        <v>320</v>
      </c>
      <c r="E23" s="206">
        <v>28500</v>
      </c>
      <c r="F23" s="207">
        <v>30000</v>
      </c>
      <c r="G23" s="196">
        <f t="shared" si="0"/>
        <v>1.0526315789473684</v>
      </c>
      <c r="H23" s="188"/>
      <c r="I23" s="188"/>
      <c r="J23" s="188"/>
    </row>
    <row r="24" spans="1:11" ht="18.75" hidden="1" customHeight="1">
      <c r="A24" s="190"/>
      <c r="B24" s="198"/>
      <c r="C24" s="198"/>
      <c r="D24" s="199" t="s">
        <v>612</v>
      </c>
      <c r="E24" s="206">
        <v>0</v>
      </c>
      <c r="F24" s="207">
        <v>0</v>
      </c>
      <c r="G24" s="196" t="e">
        <f t="shared" si="0"/>
        <v>#DIV/0!</v>
      </c>
      <c r="H24" s="188"/>
      <c r="I24" s="188"/>
      <c r="J24" s="188"/>
    </row>
    <row r="25" spans="1:11" ht="18.75" hidden="1" customHeight="1">
      <c r="A25" s="190"/>
      <c r="B25" s="198"/>
      <c r="C25" s="198"/>
      <c r="D25" s="199" t="s">
        <v>609</v>
      </c>
      <c r="E25" s="206">
        <v>0</v>
      </c>
      <c r="F25" s="207"/>
      <c r="G25" s="196" t="e">
        <f t="shared" si="0"/>
        <v>#DIV/0!</v>
      </c>
      <c r="H25" s="188"/>
      <c r="I25" s="188"/>
      <c r="J25" s="188"/>
    </row>
    <row r="26" spans="1:11" ht="15.75" customHeight="1">
      <c r="A26" s="190"/>
      <c r="B26" s="198"/>
      <c r="C26" s="198">
        <f>'Zbiorczo-paragr'!C92</f>
        <v>4260</v>
      </c>
      <c r="D26" s="198" t="str">
        <f>'Zbiorczo-paragr'!D92</f>
        <v xml:space="preserve">Zakup energii                                           </v>
      </c>
      <c r="E26" s="206">
        <f>SUM(E27)</f>
        <v>260000</v>
      </c>
      <c r="F26" s="207">
        <f>SUM(F27)</f>
        <v>272000</v>
      </c>
      <c r="G26" s="196">
        <f t="shared" si="0"/>
        <v>1.0461538461538462</v>
      </c>
      <c r="H26" s="188"/>
      <c r="I26" s="188"/>
      <c r="J26" s="188"/>
    </row>
    <row r="27" spans="1:11" ht="18" customHeight="1">
      <c r="A27" s="190"/>
      <c r="B27" s="198"/>
      <c r="C27" s="198"/>
      <c r="D27" s="198" t="s">
        <v>236</v>
      </c>
      <c r="E27" s="204">
        <v>260000</v>
      </c>
      <c r="F27" s="205">
        <v>272000</v>
      </c>
      <c r="G27" s="196">
        <f t="shared" si="0"/>
        <v>1.0461538461538462</v>
      </c>
      <c r="H27" s="188"/>
      <c r="I27" s="202"/>
      <c r="J27" s="188"/>
    </row>
    <row r="28" spans="1:11" ht="15" customHeight="1">
      <c r="A28" s="190"/>
      <c r="B28" s="198"/>
      <c r="C28" s="198">
        <f>'Zbiorczo-paragr'!C96</f>
        <v>4270</v>
      </c>
      <c r="D28" s="198" t="str">
        <f>'Zbiorczo-paragr'!D96</f>
        <v xml:space="preserve">Zakup usług remontowych                                 </v>
      </c>
      <c r="E28" s="194">
        <f>SUM(E29:E30)</f>
        <v>18000</v>
      </c>
      <c r="F28" s="195">
        <f>SUM(F29:F30)</f>
        <v>18000</v>
      </c>
      <c r="G28" s="196">
        <f t="shared" si="0"/>
        <v>1</v>
      </c>
      <c r="H28" s="188"/>
      <c r="I28" s="188"/>
      <c r="J28" s="188"/>
    </row>
    <row r="29" spans="1:11" ht="71.45" hidden="1" customHeight="1">
      <c r="A29" s="190"/>
      <c r="B29" s="198"/>
      <c r="C29" s="198"/>
      <c r="D29" s="198" t="s">
        <v>632</v>
      </c>
      <c r="E29" s="200">
        <v>0</v>
      </c>
      <c r="F29" s="201">
        <v>0</v>
      </c>
      <c r="G29" s="196" t="e">
        <f t="shared" si="0"/>
        <v>#DIV/0!</v>
      </c>
      <c r="H29" s="188"/>
      <c r="I29" s="188"/>
      <c r="J29" s="188"/>
    </row>
    <row r="30" spans="1:11" ht="30.75" customHeight="1">
      <c r="A30" s="190"/>
      <c r="B30" s="198"/>
      <c r="C30" s="198"/>
      <c r="D30" s="198" t="s">
        <v>172</v>
      </c>
      <c r="E30" s="204">
        <v>18000</v>
      </c>
      <c r="F30" s="205">
        <v>18000</v>
      </c>
      <c r="G30" s="196">
        <f t="shared" si="0"/>
        <v>1</v>
      </c>
      <c r="H30" s="188"/>
      <c r="I30" s="188"/>
      <c r="J30" s="188"/>
    </row>
    <row r="31" spans="1:11" ht="17.25" customHeight="1">
      <c r="A31" s="190"/>
      <c r="B31" s="198"/>
      <c r="C31" s="198">
        <f>'Zbiorczo-paragr'!C103</f>
        <v>4280</v>
      </c>
      <c r="D31" s="198" t="str">
        <f>'Zbiorczo-paragr'!D103</f>
        <v>Zakup usług zdrowotnych</v>
      </c>
      <c r="E31" s="204">
        <v>2000</v>
      </c>
      <c r="F31" s="205">
        <v>2000</v>
      </c>
      <c r="G31" s="196">
        <f t="shared" si="0"/>
        <v>1</v>
      </c>
      <c r="H31" s="188"/>
      <c r="I31" s="188"/>
      <c r="J31" s="188"/>
    </row>
    <row r="32" spans="1:11" ht="16.5" customHeight="1">
      <c r="A32" s="190"/>
      <c r="B32" s="198"/>
      <c r="C32" s="198">
        <f>'Zbiorczo-paragr'!C107</f>
        <v>4300</v>
      </c>
      <c r="D32" s="198" t="str">
        <f>'Zbiorczo-paragr'!D107</f>
        <v xml:space="preserve">Zakup usług pozostałych                                 </v>
      </c>
      <c r="E32" s="194">
        <f>SUM(E33)</f>
        <v>197230</v>
      </c>
      <c r="F32" s="195">
        <f>SUM(F33)</f>
        <v>221000</v>
      </c>
      <c r="G32" s="196">
        <f t="shared" si="0"/>
        <v>1.1205191907924759</v>
      </c>
      <c r="H32" s="188"/>
      <c r="I32" s="188"/>
      <c r="J32" s="188"/>
    </row>
    <row r="33" spans="1:10" ht="78" customHeight="1">
      <c r="A33" s="190"/>
      <c r="B33" s="198"/>
      <c r="C33" s="198"/>
      <c r="D33" s="89" t="s">
        <v>832</v>
      </c>
      <c r="E33" s="200">
        <v>197230</v>
      </c>
      <c r="F33" s="201">
        <v>221000</v>
      </c>
      <c r="G33" s="196">
        <f t="shared" si="0"/>
        <v>1.1205191907924759</v>
      </c>
      <c r="H33" s="202"/>
      <c r="I33" s="188"/>
      <c r="J33" s="188"/>
    </row>
    <row r="34" spans="1:10" ht="21" customHeight="1">
      <c r="A34" s="190"/>
      <c r="B34" s="198"/>
      <c r="C34" s="198">
        <f>'Zbiorczo-paragr'!C111</f>
        <v>4360</v>
      </c>
      <c r="D34" s="198" t="str">
        <f>'Zbiorczo-paragr'!D111</f>
        <v xml:space="preserve">Opłaty z tytułu zakupu usług telekomunikacyjnych                                 </v>
      </c>
      <c r="E34" s="194">
        <f>SUM(E35)</f>
        <v>3400</v>
      </c>
      <c r="F34" s="195">
        <f>SUM(F35)</f>
        <v>4000</v>
      </c>
      <c r="G34" s="196">
        <f t="shared" si="0"/>
        <v>1.1764705882352942</v>
      </c>
      <c r="H34" s="188"/>
      <c r="I34" s="188"/>
      <c r="J34" s="188"/>
    </row>
    <row r="35" spans="1:10" ht="17.25" customHeight="1">
      <c r="A35" s="190"/>
      <c r="B35" s="198"/>
      <c r="C35" s="198"/>
      <c r="D35" s="198" t="s">
        <v>289</v>
      </c>
      <c r="E35" s="200">
        <v>3400</v>
      </c>
      <c r="F35" s="201">
        <v>4000</v>
      </c>
      <c r="G35" s="196">
        <f t="shared" si="0"/>
        <v>1.1764705882352942</v>
      </c>
      <c r="H35" s="188"/>
      <c r="I35" s="188"/>
      <c r="J35" s="188"/>
    </row>
    <row r="36" spans="1:10" ht="16.5" hidden="1" customHeight="1">
      <c r="A36" s="190"/>
      <c r="B36" s="198"/>
      <c r="C36" s="198">
        <f>'Zbiorczo-paragr'!C115</f>
        <v>4410</v>
      </c>
      <c r="D36" s="198" t="str">
        <f>'Zbiorczo-paragr'!D115</f>
        <v xml:space="preserve">Podróże służbowe krajowe                                </v>
      </c>
      <c r="E36" s="194">
        <f>SUM(E37)</f>
        <v>0</v>
      </c>
      <c r="F36" s="195">
        <f>SUM(F37)</f>
        <v>0</v>
      </c>
      <c r="G36" s="196" t="e">
        <f t="shared" si="0"/>
        <v>#DIV/0!</v>
      </c>
      <c r="H36" s="188"/>
      <c r="I36" s="188"/>
      <c r="J36" s="188"/>
    </row>
    <row r="37" spans="1:10" ht="15" hidden="1" customHeight="1">
      <c r="A37" s="190"/>
      <c r="B37" s="198"/>
      <c r="C37" s="198"/>
      <c r="D37" s="198" t="s">
        <v>354</v>
      </c>
      <c r="E37" s="200">
        <v>0</v>
      </c>
      <c r="F37" s="201">
        <v>0</v>
      </c>
      <c r="G37" s="196" t="e">
        <f t="shared" si="0"/>
        <v>#DIV/0!</v>
      </c>
      <c r="H37" s="188"/>
      <c r="I37" s="188"/>
      <c r="J37" s="188"/>
    </row>
    <row r="38" spans="1:10" ht="17.25" customHeight="1">
      <c r="A38" s="190"/>
      <c r="B38" s="198"/>
      <c r="C38" s="198">
        <v>4430</v>
      </c>
      <c r="D38" s="198" t="str">
        <f>'Zbiorczo-paragr'!D119</f>
        <v xml:space="preserve">Różne opłaty i składki                                  </v>
      </c>
      <c r="E38" s="194">
        <f>SUM(E39)</f>
        <v>4500</v>
      </c>
      <c r="F38" s="195">
        <f>SUM(F39)</f>
        <v>5500</v>
      </c>
      <c r="G38" s="196">
        <f t="shared" si="0"/>
        <v>1.2222222222222223</v>
      </c>
      <c r="H38" s="188"/>
      <c r="I38" s="188"/>
      <c r="J38" s="188"/>
    </row>
    <row r="39" spans="1:10" ht="16.5" customHeight="1">
      <c r="A39" s="190"/>
      <c r="B39" s="198"/>
      <c r="C39" s="198"/>
      <c r="D39" s="198" t="s">
        <v>211</v>
      </c>
      <c r="E39" s="200">
        <v>4500</v>
      </c>
      <c r="F39" s="201">
        <v>5500</v>
      </c>
      <c r="G39" s="196">
        <f t="shared" si="0"/>
        <v>1.2222222222222223</v>
      </c>
      <c r="H39" s="188"/>
      <c r="I39" s="188"/>
      <c r="J39" s="188"/>
    </row>
    <row r="40" spans="1:10" ht="45" customHeight="1">
      <c r="A40" s="190"/>
      <c r="B40" s="198"/>
      <c r="C40" s="198">
        <f>'Zbiorczo-paragr'!C123</f>
        <v>4440</v>
      </c>
      <c r="D40" s="198" t="s">
        <v>16</v>
      </c>
      <c r="E40" s="204">
        <v>157674</v>
      </c>
      <c r="F40" s="205">
        <v>181989</v>
      </c>
      <c r="G40" s="196">
        <f t="shared" si="0"/>
        <v>1.1542105863997869</v>
      </c>
      <c r="H40" s="188"/>
      <c r="I40" s="188"/>
      <c r="J40" s="188"/>
    </row>
    <row r="41" spans="1:10" ht="15.75" customHeight="1">
      <c r="A41" s="190"/>
      <c r="B41" s="198"/>
      <c r="C41" s="210">
        <f>'Zbiorczo-paragr'!C127</f>
        <v>4700</v>
      </c>
      <c r="D41" s="199" t="s">
        <v>243</v>
      </c>
      <c r="E41" s="206">
        <f>SUM(E42)</f>
        <v>670</v>
      </c>
      <c r="F41" s="207">
        <f>SUM(F42)</f>
        <v>1200</v>
      </c>
      <c r="G41" s="196">
        <f t="shared" si="0"/>
        <v>1.791044776119403</v>
      </c>
      <c r="H41" s="188"/>
      <c r="I41" s="188"/>
      <c r="J41" s="188"/>
    </row>
    <row r="42" spans="1:10" ht="17.25" customHeight="1">
      <c r="A42" s="190"/>
      <c r="B42" s="198"/>
      <c r="C42" s="210"/>
      <c r="D42" s="210" t="s">
        <v>17</v>
      </c>
      <c r="E42" s="204">
        <v>670</v>
      </c>
      <c r="F42" s="205">
        <v>1200</v>
      </c>
      <c r="G42" s="196">
        <f t="shared" si="0"/>
        <v>1.791044776119403</v>
      </c>
      <c r="H42" s="188"/>
      <c r="I42" s="188"/>
      <c r="J42" s="188"/>
    </row>
    <row r="43" spans="1:10" ht="16.5" hidden="1" customHeight="1">
      <c r="A43" s="190"/>
      <c r="B43" s="198"/>
      <c r="C43" s="211">
        <v>6060</v>
      </c>
      <c r="D43" s="211" t="str">
        <f>'Zbiorczo-paragr'!D131</f>
        <v xml:space="preserve">Wydatki na zakupy inwestycyjne jednostek budżetowych    </v>
      </c>
      <c r="E43" s="212">
        <f>E44</f>
        <v>0</v>
      </c>
      <c r="F43" s="213">
        <f>F44</f>
        <v>0</v>
      </c>
      <c r="G43" s="214" t="e">
        <f t="shared" si="0"/>
        <v>#DIV/0!</v>
      </c>
      <c r="H43" s="188"/>
      <c r="I43" s="188"/>
      <c r="J43" s="188"/>
    </row>
    <row r="44" spans="1:10" ht="18" hidden="1" customHeight="1">
      <c r="A44" s="190"/>
      <c r="B44" s="198"/>
      <c r="C44" s="211"/>
      <c r="D44" s="211" t="s">
        <v>151</v>
      </c>
      <c r="E44" s="212">
        <v>0</v>
      </c>
      <c r="F44" s="213">
        <v>0</v>
      </c>
      <c r="G44" s="214" t="e">
        <f t="shared" si="0"/>
        <v>#DIV/0!</v>
      </c>
      <c r="H44" s="188"/>
      <c r="I44" s="188"/>
      <c r="J44" s="188"/>
    </row>
    <row r="45" spans="1:10" ht="19.5" customHeight="1">
      <c r="A45" s="535" t="str">
        <f>'Zbiorczo-paragr'!A133:D133</f>
        <v>80101 Szkoły podstawowe : Razem</v>
      </c>
      <c r="B45" s="536"/>
      <c r="C45" s="536"/>
      <c r="D45" s="537"/>
      <c r="E45" s="215">
        <f>SUM(E3+E6+E9+E10+E11+E12+E13+E15+E17+E20+E22+E26+E28+E31+E32+E34+E36+E38+E40+E41+E43)</f>
        <v>4269181</v>
      </c>
      <c r="F45" s="215">
        <f>SUM(F3+F6+F9+F10+F11+F12+F13+F15+F17+F20+F22+F26+F28+F31+F32+F34+F36+F38+F40+F41+F43)</f>
        <v>5632489</v>
      </c>
      <c r="G45" s="214">
        <f t="shared" si="0"/>
        <v>1.3193371281283226</v>
      </c>
      <c r="H45" s="202"/>
      <c r="I45" s="188"/>
      <c r="J45" s="188"/>
    </row>
    <row r="46" spans="1:10" ht="15.75" customHeight="1">
      <c r="A46" s="198">
        <f>'Zbiorczo-paragr'!A134</f>
        <v>801</v>
      </c>
      <c r="B46" s="198">
        <f>'Zbiorczo-paragr'!B134</f>
        <v>80103</v>
      </c>
      <c r="C46" s="198">
        <f>'Zbiorczo-paragr'!C140</f>
        <v>3020</v>
      </c>
      <c r="D46" s="198" t="str">
        <f>'Zbiorczo-paragr'!D140</f>
        <v xml:space="preserve">Wydatki osobowe nie zaliczone do wynagrodzeń  </v>
      </c>
      <c r="E46" s="194">
        <f>SUM(E47:E48)</f>
        <v>36070</v>
      </c>
      <c r="F46" s="195">
        <f>SUM(F47:F48)</f>
        <v>29250</v>
      </c>
      <c r="G46" s="196">
        <f t="shared" si="0"/>
        <v>0.81092320487940117</v>
      </c>
      <c r="H46" s="202"/>
      <c r="I46" s="188"/>
      <c r="J46" s="188"/>
    </row>
    <row r="47" spans="1:10" ht="16.149999999999999" customHeight="1">
      <c r="A47" s="198"/>
      <c r="B47" s="198"/>
      <c r="C47" s="198"/>
      <c r="D47" s="199" t="s">
        <v>626</v>
      </c>
      <c r="E47" s="200">
        <f>36070-E48</f>
        <v>35770</v>
      </c>
      <c r="F47" s="201">
        <f>30000-F152</f>
        <v>28950</v>
      </c>
      <c r="G47" s="196">
        <f t="shared" si="0"/>
        <v>0.80933743360357846</v>
      </c>
      <c r="H47" s="188"/>
      <c r="I47" s="188"/>
      <c r="J47" s="188"/>
    </row>
    <row r="48" spans="1:10" ht="16.149999999999999" customHeight="1">
      <c r="A48" s="198"/>
      <c r="B48" s="198"/>
      <c r="C48" s="198"/>
      <c r="D48" s="199" t="s">
        <v>613</v>
      </c>
      <c r="E48" s="200">
        <v>300</v>
      </c>
      <c r="F48" s="201">
        <v>300</v>
      </c>
      <c r="G48" s="196">
        <f t="shared" si="0"/>
        <v>1</v>
      </c>
      <c r="H48" s="188"/>
      <c r="I48" s="188"/>
      <c r="J48" s="188"/>
    </row>
    <row r="49" spans="1:10" ht="18" customHeight="1">
      <c r="A49" s="198"/>
      <c r="B49" s="198"/>
      <c r="C49" s="198">
        <f>'Zbiorczo-paragr'!C144</f>
        <v>4010</v>
      </c>
      <c r="D49" s="198" t="str">
        <f>'Zbiorczo-paragr'!D144</f>
        <v xml:space="preserve">Wynagrodzenia osobowe pracowników                       </v>
      </c>
      <c r="E49" s="194">
        <f>E50+E51</f>
        <v>411770</v>
      </c>
      <c r="F49" s="195">
        <f>F50+F51</f>
        <v>430100</v>
      </c>
      <c r="G49" s="196">
        <f t="shared" si="0"/>
        <v>1.0445151419481749</v>
      </c>
      <c r="H49" s="188"/>
      <c r="I49" s="188"/>
      <c r="J49" s="188"/>
    </row>
    <row r="50" spans="1:10" ht="29.25" customHeight="1">
      <c r="A50" s="198"/>
      <c r="B50" s="198"/>
      <c r="C50" s="198"/>
      <c r="D50" s="60" t="s">
        <v>194</v>
      </c>
      <c r="E50" s="204">
        <f>411770-E51</f>
        <v>405770</v>
      </c>
      <c r="F50" s="205">
        <f>442500-F51-F155</f>
        <v>430100</v>
      </c>
      <c r="G50" s="196">
        <f t="shared" si="0"/>
        <v>1.0599600759050694</v>
      </c>
      <c r="H50" s="188"/>
      <c r="I50" s="188"/>
      <c r="J50" s="188"/>
    </row>
    <row r="51" spans="1:10" ht="18" customHeight="1">
      <c r="A51" s="198"/>
      <c r="B51" s="198"/>
      <c r="C51" s="198"/>
      <c r="D51" s="29" t="s">
        <v>12</v>
      </c>
      <c r="E51" s="204">
        <v>6000</v>
      </c>
      <c r="F51" s="205">
        <v>0</v>
      </c>
      <c r="G51" s="196">
        <f t="shared" si="0"/>
        <v>0</v>
      </c>
      <c r="H51" s="188"/>
      <c r="I51" s="188"/>
      <c r="J51" s="188"/>
    </row>
    <row r="52" spans="1:10" ht="32.25" customHeight="1">
      <c r="A52" s="198"/>
      <c r="B52" s="198"/>
      <c r="C52" s="198">
        <f>'Zbiorczo-paragr'!C151</f>
        <v>4040</v>
      </c>
      <c r="D52" s="198" t="s">
        <v>227</v>
      </c>
      <c r="E52" s="204">
        <v>25000</v>
      </c>
      <c r="F52" s="205">
        <v>31000</v>
      </c>
      <c r="G52" s="196">
        <f t="shared" si="0"/>
        <v>1.24</v>
      </c>
      <c r="H52" s="188"/>
      <c r="I52" s="188"/>
      <c r="J52" s="188"/>
    </row>
    <row r="53" spans="1:10" ht="16.5" customHeight="1">
      <c r="A53" s="198"/>
      <c r="B53" s="198"/>
      <c r="C53" s="198">
        <f>'Zbiorczo-paragr'!C155</f>
        <v>4110</v>
      </c>
      <c r="D53" s="198" t="str">
        <f>'Zbiorczo-paragr'!D155</f>
        <v xml:space="preserve">Składki na ubezpieczenia społeczne                      </v>
      </c>
      <c r="E53" s="204">
        <v>71890</v>
      </c>
      <c r="F53" s="205">
        <f>90000-F158</f>
        <v>87700</v>
      </c>
      <c r="G53" s="196">
        <f t="shared" si="0"/>
        <v>1.219919321185144</v>
      </c>
      <c r="H53" s="188"/>
      <c r="I53" s="188"/>
      <c r="J53" s="188"/>
    </row>
    <row r="54" spans="1:10" ht="15.75" customHeight="1">
      <c r="A54" s="198"/>
      <c r="B54" s="198"/>
      <c r="C54" s="198">
        <f>'Zbiorczo-paragr'!C159</f>
        <v>4120</v>
      </c>
      <c r="D54" s="198" t="str">
        <f>'Zbiorczo-paragr'!D159</f>
        <v xml:space="preserve">Składki na Fundusz Pracy                                </v>
      </c>
      <c r="E54" s="204">
        <v>8200</v>
      </c>
      <c r="F54" s="205">
        <f>10000-F161</f>
        <v>9670</v>
      </c>
      <c r="G54" s="196">
        <f t="shared" si="0"/>
        <v>1.1792682926829268</v>
      </c>
      <c r="H54" s="188"/>
      <c r="I54" s="188"/>
      <c r="J54" s="188"/>
    </row>
    <row r="55" spans="1:10" ht="15.75" customHeight="1">
      <c r="A55" s="198"/>
      <c r="B55" s="198"/>
      <c r="C55" s="198">
        <v>4190</v>
      </c>
      <c r="D55" s="198" t="str">
        <f>'Zbiorczo-paragr'!D163</f>
        <v>Nagrody konkursowe</v>
      </c>
      <c r="E55" s="204">
        <f>E56</f>
        <v>300</v>
      </c>
      <c r="F55" s="205">
        <f>F56</f>
        <v>300</v>
      </c>
      <c r="G55" s="196">
        <f t="shared" si="0"/>
        <v>1</v>
      </c>
      <c r="H55" s="188"/>
      <c r="I55" s="188"/>
      <c r="J55" s="188"/>
    </row>
    <row r="56" spans="1:10" ht="15.75" customHeight="1">
      <c r="A56" s="198"/>
      <c r="B56" s="198"/>
      <c r="C56" s="198"/>
      <c r="D56" s="198" t="s">
        <v>456</v>
      </c>
      <c r="E56" s="204">
        <v>300</v>
      </c>
      <c r="F56" s="205">
        <v>300</v>
      </c>
      <c r="G56" s="196">
        <f t="shared" si="0"/>
        <v>1</v>
      </c>
      <c r="H56" s="188"/>
      <c r="I56" s="188"/>
      <c r="J56" s="188"/>
    </row>
    <row r="57" spans="1:10" ht="16.5" customHeight="1">
      <c r="A57" s="198"/>
      <c r="B57" s="198"/>
      <c r="C57" s="198">
        <f>'Zbiorczo-paragr'!C167</f>
        <v>4210</v>
      </c>
      <c r="D57" s="198" t="str">
        <f>'Zbiorczo-paragr'!D167</f>
        <v xml:space="preserve">Zakup materiałów i wyposażenia                          </v>
      </c>
      <c r="E57" s="206">
        <f>SUM(E58)</f>
        <v>18100</v>
      </c>
      <c r="F57" s="207">
        <f>SUM(F58)</f>
        <v>3000</v>
      </c>
      <c r="G57" s="196">
        <f t="shared" si="0"/>
        <v>0.16574585635359115</v>
      </c>
      <c r="H57" s="188"/>
      <c r="I57" s="188"/>
      <c r="J57" s="188"/>
    </row>
    <row r="58" spans="1:10" ht="18" customHeight="1">
      <c r="A58" s="198"/>
      <c r="B58" s="198"/>
      <c r="C58" s="198"/>
      <c r="D58" s="198" t="s">
        <v>152</v>
      </c>
      <c r="E58" s="204">
        <v>18100</v>
      </c>
      <c r="F58" s="205">
        <v>3000</v>
      </c>
      <c r="G58" s="196">
        <f t="shared" si="0"/>
        <v>0.16574585635359115</v>
      </c>
      <c r="H58" s="188"/>
      <c r="I58" s="188"/>
      <c r="J58" s="188"/>
    </row>
    <row r="59" spans="1:10" ht="20.25" customHeight="1">
      <c r="A59" s="198"/>
      <c r="B59" s="198"/>
      <c r="C59" s="198">
        <v>4240</v>
      </c>
      <c r="D59" s="198" t="str">
        <f>'Zbiorczo-paragr'!D171</f>
        <v xml:space="preserve">Zakup pomocy naukowych, dydaktycznych i książek         </v>
      </c>
      <c r="E59" s="204">
        <v>5000</v>
      </c>
      <c r="F59" s="205">
        <v>6000</v>
      </c>
      <c r="G59" s="196">
        <f t="shared" si="0"/>
        <v>1.2</v>
      </c>
      <c r="H59" s="188"/>
      <c r="I59" s="188"/>
      <c r="J59" s="188"/>
    </row>
    <row r="60" spans="1:10" ht="17.25" hidden="1" customHeight="1">
      <c r="A60" s="198"/>
      <c r="B60" s="198"/>
      <c r="C60" s="198">
        <f>'Zbiorczo-paragr'!C175</f>
        <v>4300</v>
      </c>
      <c r="D60" s="198" t="str">
        <f>'Zbiorczo-paragr'!D175</f>
        <v xml:space="preserve">Zakup usług pozostałych                                 </v>
      </c>
      <c r="E60" s="204">
        <f>E61</f>
        <v>0</v>
      </c>
      <c r="F60" s="205">
        <f>F61</f>
        <v>0</v>
      </c>
      <c r="G60" s="196" t="e">
        <f>SUM(F60/E60)</f>
        <v>#DIV/0!</v>
      </c>
      <c r="H60" s="188"/>
      <c r="I60" s="188"/>
      <c r="J60" s="188"/>
    </row>
    <row r="61" spans="1:10" ht="17.25" hidden="1" customHeight="1">
      <c r="A61" s="198"/>
      <c r="B61" s="198"/>
      <c r="C61" s="198"/>
      <c r="D61" s="198" t="s">
        <v>215</v>
      </c>
      <c r="E61" s="204">
        <v>0</v>
      </c>
      <c r="F61" s="205">
        <v>0</v>
      </c>
      <c r="G61" s="196" t="e">
        <f>SUM(F61/E61)</f>
        <v>#DIV/0!</v>
      </c>
      <c r="H61" s="188"/>
      <c r="I61" s="188"/>
      <c r="J61" s="188"/>
    </row>
    <row r="62" spans="1:10" ht="32.25" customHeight="1">
      <c r="A62" s="198"/>
      <c r="B62" s="198"/>
      <c r="C62" s="198">
        <f>'Zbiorczo-paragr'!C179</f>
        <v>4440</v>
      </c>
      <c r="D62" s="198" t="s">
        <v>339</v>
      </c>
      <c r="E62" s="204">
        <v>20515</v>
      </c>
      <c r="F62" s="205">
        <v>25868</v>
      </c>
      <c r="G62" s="196">
        <f>SUM(F62/E62)</f>
        <v>1.2609310260784792</v>
      </c>
      <c r="H62" s="202"/>
      <c r="I62" s="202"/>
      <c r="J62" s="188"/>
    </row>
    <row r="63" spans="1:10" ht="21" customHeight="1">
      <c r="A63" s="535" t="str">
        <f>'Zbiorczo-paragr'!A183:D183</f>
        <v>80103 Oddziały przedszkolne w szkołach podstawowych : Razem</v>
      </c>
      <c r="B63" s="536"/>
      <c r="C63" s="536"/>
      <c r="D63" s="537"/>
      <c r="E63" s="215">
        <f>E46+E49+E52+E53+E54+E55+E57+E59+E60+E62</f>
        <v>596845</v>
      </c>
      <c r="F63" s="215">
        <f>F46+F49+F52+F53+F54+F55+F57+F59+F60+F62</f>
        <v>622888</v>
      </c>
      <c r="G63" s="214">
        <f>SUM(F63/E63)</f>
        <v>1.0436344444537526</v>
      </c>
      <c r="H63" s="202"/>
      <c r="I63" s="188"/>
      <c r="J63" s="188"/>
    </row>
    <row r="64" spans="1:10" ht="21" customHeight="1">
      <c r="A64" s="216">
        <v>801</v>
      </c>
      <c r="B64" s="198">
        <v>80104</v>
      </c>
      <c r="C64" s="198">
        <v>3020</v>
      </c>
      <c r="D64" s="198" t="str">
        <f>'Zbiorczo-paragr'!D223</f>
        <v xml:space="preserve">Nagrody i wydatki  osobowe nie zaliczone do wynagrodzeń  </v>
      </c>
      <c r="E64" s="194">
        <f>SUM(E65:E66)</f>
        <v>45930</v>
      </c>
      <c r="F64" s="195">
        <f>SUM(F65:F66)</f>
        <v>27500</v>
      </c>
      <c r="G64" s="196">
        <f>SUM(F64/E64)</f>
        <v>0.5987372087959939</v>
      </c>
      <c r="H64" s="202"/>
      <c r="I64" s="188"/>
      <c r="J64" s="188"/>
    </row>
    <row r="65" spans="1:10" ht="21" customHeight="1">
      <c r="A65" s="216"/>
      <c r="B65" s="198"/>
      <c r="C65" s="198"/>
      <c r="D65" s="29" t="s">
        <v>778</v>
      </c>
      <c r="E65" s="194">
        <f>45930-E66</f>
        <v>45430</v>
      </c>
      <c r="F65" s="195">
        <f>27000</f>
        <v>27000</v>
      </c>
      <c r="G65" s="196">
        <f t="shared" ref="G65:G101" si="1">SUM(F65/E65)</f>
        <v>0.59432093330398417</v>
      </c>
      <c r="H65" s="202"/>
      <c r="I65" s="188"/>
      <c r="J65" s="188"/>
    </row>
    <row r="66" spans="1:10" ht="21" customHeight="1">
      <c r="A66" s="216"/>
      <c r="B66" s="198"/>
      <c r="C66" s="198"/>
      <c r="D66" s="29" t="s">
        <v>613</v>
      </c>
      <c r="E66" s="194">
        <v>500</v>
      </c>
      <c r="F66" s="195">
        <f>500</f>
        <v>500</v>
      </c>
      <c r="G66" s="196">
        <f t="shared" si="1"/>
        <v>1</v>
      </c>
      <c r="H66" s="202"/>
      <c r="I66" s="188"/>
      <c r="J66" s="188"/>
    </row>
    <row r="67" spans="1:10" ht="21" customHeight="1">
      <c r="A67" s="216"/>
      <c r="B67" s="198"/>
      <c r="C67" s="198">
        <v>4010</v>
      </c>
      <c r="D67" s="198" t="str">
        <f>'Zbiorczo-paragr'!D226</f>
        <v xml:space="preserve">Wynagrodzenia osobowe pracowników                       </v>
      </c>
      <c r="E67" s="194">
        <f>SUM(E68:E69)</f>
        <v>570412</v>
      </c>
      <c r="F67" s="195">
        <f>SUM(F68:F69)</f>
        <v>662500</v>
      </c>
      <c r="G67" s="196">
        <f t="shared" si="1"/>
        <v>1.1614412039017412</v>
      </c>
      <c r="H67" s="202"/>
      <c r="I67" s="188"/>
      <c r="J67" s="188"/>
    </row>
    <row r="68" spans="1:10" ht="33.75" customHeight="1">
      <c r="A68" s="216"/>
      <c r="B68" s="198"/>
      <c r="C68" s="198"/>
      <c r="D68" s="45" t="s">
        <v>725</v>
      </c>
      <c r="E68" s="194">
        <f>570412-E69</f>
        <v>560012</v>
      </c>
      <c r="F68" s="195">
        <f>662500-F69</f>
        <v>633500</v>
      </c>
      <c r="G68" s="196">
        <f t="shared" si="1"/>
        <v>1.1312257594480117</v>
      </c>
      <c r="H68" s="202"/>
      <c r="I68" s="188"/>
      <c r="J68" s="188"/>
    </row>
    <row r="69" spans="1:10" ht="21" customHeight="1">
      <c r="A69" s="216"/>
      <c r="B69" s="198"/>
      <c r="C69" s="198"/>
      <c r="D69" s="60" t="s">
        <v>724</v>
      </c>
      <c r="E69" s="194">
        <v>10400</v>
      </c>
      <c r="F69" s="195">
        <v>29000</v>
      </c>
      <c r="G69" s="196">
        <f t="shared" si="1"/>
        <v>2.7884615384615383</v>
      </c>
      <c r="H69" s="202"/>
      <c r="I69" s="188"/>
      <c r="J69" s="188"/>
    </row>
    <row r="70" spans="1:10" ht="33.75" customHeight="1">
      <c r="A70" s="216"/>
      <c r="B70" s="198"/>
      <c r="C70" s="198">
        <v>4040</v>
      </c>
      <c r="D70" s="198" t="s">
        <v>227</v>
      </c>
      <c r="E70" s="194">
        <v>47000</v>
      </c>
      <c r="F70" s="195">
        <v>51000</v>
      </c>
      <c r="G70" s="196">
        <f t="shared" si="1"/>
        <v>1.0851063829787233</v>
      </c>
      <c r="H70" s="202"/>
      <c r="I70" s="188"/>
      <c r="J70" s="188"/>
    </row>
    <row r="71" spans="1:10" ht="21" customHeight="1">
      <c r="A71" s="216"/>
      <c r="B71" s="198"/>
      <c r="C71" s="198">
        <v>4110</v>
      </c>
      <c r="D71" s="198" t="str">
        <f>'Zbiorczo-paragr'!D234</f>
        <v xml:space="preserve">Składki na ubezpieczenia społeczne                      </v>
      </c>
      <c r="E71" s="194">
        <v>118425</v>
      </c>
      <c r="F71" s="195">
        <v>125000</v>
      </c>
      <c r="G71" s="196">
        <f t="shared" si="1"/>
        <v>1.0555203715431707</v>
      </c>
      <c r="H71" s="202"/>
      <c r="I71" s="188"/>
      <c r="J71" s="188"/>
    </row>
    <row r="72" spans="1:10" ht="21" customHeight="1">
      <c r="A72" s="216"/>
      <c r="B72" s="198"/>
      <c r="C72" s="198">
        <v>4120</v>
      </c>
      <c r="D72" s="198" t="str">
        <f>'Zbiorczo-paragr'!D237</f>
        <v xml:space="preserve">Składki na Fundusz Pracy                                </v>
      </c>
      <c r="E72" s="194">
        <v>15690</v>
      </c>
      <c r="F72" s="195">
        <v>16000</v>
      </c>
      <c r="G72" s="196">
        <f t="shared" si="1"/>
        <v>1.0197578075207139</v>
      </c>
      <c r="H72" s="202"/>
      <c r="I72" s="188"/>
      <c r="J72" s="188"/>
    </row>
    <row r="73" spans="1:10" ht="21" hidden="1" customHeight="1">
      <c r="A73" s="216"/>
      <c r="B73" s="198"/>
      <c r="C73" s="198">
        <v>4170</v>
      </c>
      <c r="D73" s="198" t="str">
        <f>'Zbiorczo-paragr'!D242</f>
        <v>Wynagrodzenia bezosobowe</v>
      </c>
      <c r="E73" s="194">
        <f>SUM(E74)</f>
        <v>0</v>
      </c>
      <c r="F73" s="195">
        <f>SUM(F74)</f>
        <v>0</v>
      </c>
      <c r="G73" s="196" t="e">
        <f t="shared" si="1"/>
        <v>#DIV/0!</v>
      </c>
      <c r="H73" s="202"/>
      <c r="I73" s="188"/>
      <c r="J73" s="188"/>
    </row>
    <row r="74" spans="1:10" ht="24" hidden="1" customHeight="1">
      <c r="A74" s="216"/>
      <c r="B74" s="198"/>
      <c r="C74" s="198"/>
      <c r="D74" s="198" t="s">
        <v>14</v>
      </c>
      <c r="E74" s="194">
        <v>0</v>
      </c>
      <c r="F74" s="195">
        <v>0</v>
      </c>
      <c r="G74" s="196" t="e">
        <f t="shared" si="1"/>
        <v>#DIV/0!</v>
      </c>
      <c r="H74" s="202"/>
      <c r="I74" s="188"/>
      <c r="J74" s="188"/>
    </row>
    <row r="75" spans="1:10" ht="21" customHeight="1">
      <c r="A75" s="216"/>
      <c r="B75" s="198"/>
      <c r="C75" s="198">
        <v>4210</v>
      </c>
      <c r="D75" s="198" t="str">
        <f>'Zbiorczo-paragr'!D247</f>
        <v xml:space="preserve">Zakup materiałów i wyposażenia                          </v>
      </c>
      <c r="E75" s="206">
        <f>SUM(E76)</f>
        <v>27400</v>
      </c>
      <c r="F75" s="207">
        <f>SUM(F76)</f>
        <v>27050</v>
      </c>
      <c r="G75" s="196">
        <f t="shared" si="1"/>
        <v>0.98722627737226276</v>
      </c>
      <c r="H75" s="202"/>
      <c r="I75" s="188"/>
      <c r="J75" s="188"/>
    </row>
    <row r="76" spans="1:10" ht="64.5" customHeight="1">
      <c r="A76" s="216"/>
      <c r="B76" s="198"/>
      <c r="C76" s="198"/>
      <c r="D76" s="21" t="s">
        <v>824</v>
      </c>
      <c r="E76" s="194">
        <v>27400</v>
      </c>
      <c r="F76" s="195">
        <v>27050</v>
      </c>
      <c r="G76" s="196">
        <f t="shared" si="1"/>
        <v>0.98722627737226276</v>
      </c>
      <c r="H76" s="202"/>
      <c r="I76" s="188"/>
      <c r="J76" s="188"/>
    </row>
    <row r="77" spans="1:10" ht="21.75" customHeight="1">
      <c r="A77" s="216"/>
      <c r="B77" s="198"/>
      <c r="C77" s="217">
        <v>4220</v>
      </c>
      <c r="D77" s="218" t="s">
        <v>618</v>
      </c>
      <c r="E77" s="219">
        <f>E78</f>
        <v>3000</v>
      </c>
      <c r="F77" s="219">
        <f>F78</f>
        <v>5500</v>
      </c>
      <c r="G77" s="220">
        <f>SUM(F77/E77)</f>
        <v>1.8333333333333333</v>
      </c>
      <c r="I77" s="188"/>
      <c r="J77" s="188"/>
    </row>
    <row r="78" spans="1:10" ht="20.25" customHeight="1">
      <c r="A78" s="216"/>
      <c r="B78" s="198"/>
      <c r="C78" s="217"/>
      <c r="D78" s="218" t="s">
        <v>624</v>
      </c>
      <c r="E78" s="219">
        <v>3000</v>
      </c>
      <c r="F78" s="219">
        <v>5500</v>
      </c>
      <c r="G78" s="220">
        <f>SUM(F78/E78)</f>
        <v>1.8333333333333333</v>
      </c>
      <c r="I78" s="188"/>
      <c r="J78" s="188"/>
    </row>
    <row r="79" spans="1:10" ht="33" customHeight="1">
      <c r="A79" s="216"/>
      <c r="B79" s="198"/>
      <c r="C79" s="198">
        <v>4240</v>
      </c>
      <c r="D79" s="27" t="s">
        <v>673</v>
      </c>
      <c r="E79" s="194">
        <v>10700</v>
      </c>
      <c r="F79" s="195">
        <v>8000</v>
      </c>
      <c r="G79" s="196">
        <f t="shared" si="1"/>
        <v>0.74766355140186913</v>
      </c>
      <c r="H79" s="202"/>
      <c r="I79" s="188"/>
      <c r="J79" s="188"/>
    </row>
    <row r="80" spans="1:10" ht="21" customHeight="1">
      <c r="A80" s="216"/>
      <c r="B80" s="198"/>
      <c r="C80" s="198">
        <v>4260</v>
      </c>
      <c r="D80" s="198" t="str">
        <f>'Zbiorczo-paragr'!D256</f>
        <v xml:space="preserve">Zakup energii                                           </v>
      </c>
      <c r="E80" s="206">
        <f>SUM(E81)</f>
        <v>32300</v>
      </c>
      <c r="F80" s="207">
        <f>SUM(F81)</f>
        <v>32300</v>
      </c>
      <c r="G80" s="196">
        <f t="shared" si="1"/>
        <v>1</v>
      </c>
      <c r="H80" s="202"/>
      <c r="I80" s="188"/>
      <c r="J80" s="188"/>
    </row>
    <row r="81" spans="1:10" ht="21" customHeight="1">
      <c r="A81" s="216"/>
      <c r="B81" s="198"/>
      <c r="C81" s="198"/>
      <c r="D81" s="198" t="s">
        <v>236</v>
      </c>
      <c r="E81" s="194">
        <v>32300</v>
      </c>
      <c r="F81" s="195">
        <v>32300</v>
      </c>
      <c r="G81" s="196">
        <f t="shared" si="1"/>
        <v>1</v>
      </c>
      <c r="H81" s="202"/>
      <c r="I81" s="188"/>
      <c r="J81" s="188"/>
    </row>
    <row r="82" spans="1:10" ht="21" customHeight="1">
      <c r="A82" s="216"/>
      <c r="B82" s="198"/>
      <c r="C82" s="198">
        <v>4270</v>
      </c>
      <c r="D82" s="198" t="str">
        <f>'Zbiorczo-paragr'!D259</f>
        <v xml:space="preserve">Zakup usług remontowych                                 </v>
      </c>
      <c r="E82" s="206">
        <f>SUM(E83:E84)</f>
        <v>1800</v>
      </c>
      <c r="F82" s="207">
        <f>SUM(F83:F84)</f>
        <v>1800</v>
      </c>
      <c r="G82" s="196">
        <f t="shared" si="1"/>
        <v>1</v>
      </c>
      <c r="H82" s="202"/>
      <c r="I82" s="188"/>
      <c r="J82" s="188"/>
    </row>
    <row r="83" spans="1:10" ht="60" hidden="1">
      <c r="A83" s="216"/>
      <c r="B83" s="198"/>
      <c r="C83" s="198"/>
      <c r="D83" s="198" t="s">
        <v>619</v>
      </c>
      <c r="E83" s="194">
        <v>0</v>
      </c>
      <c r="F83" s="195">
        <v>0</v>
      </c>
      <c r="G83" s="196" t="e">
        <f t="shared" si="1"/>
        <v>#DIV/0!</v>
      </c>
      <c r="H83" s="202"/>
      <c r="I83" s="188"/>
      <c r="J83" s="188"/>
    </row>
    <row r="84" spans="1:10" ht="21" customHeight="1">
      <c r="A84" s="216"/>
      <c r="B84" s="198"/>
      <c r="C84" s="198"/>
      <c r="D84" s="198" t="s">
        <v>400</v>
      </c>
      <c r="E84" s="194">
        <v>1800</v>
      </c>
      <c r="F84" s="195">
        <v>1800</v>
      </c>
      <c r="G84" s="196">
        <f t="shared" si="1"/>
        <v>1</v>
      </c>
      <c r="H84" s="202"/>
      <c r="I84" s="188"/>
      <c r="J84" s="188"/>
    </row>
    <row r="85" spans="1:10" ht="21" customHeight="1">
      <c r="A85" s="216"/>
      <c r="B85" s="198"/>
      <c r="C85" s="198">
        <v>4280</v>
      </c>
      <c r="D85" s="198" t="str">
        <f>'Zbiorczo-paragr'!D264</f>
        <v>Zakup usług zdrowotnych</v>
      </c>
      <c r="E85" s="194">
        <v>500</v>
      </c>
      <c r="F85" s="195">
        <v>500</v>
      </c>
      <c r="G85" s="196">
        <f t="shared" si="1"/>
        <v>1</v>
      </c>
      <c r="H85" s="202"/>
      <c r="I85" s="188"/>
      <c r="J85" s="188"/>
    </row>
    <row r="86" spans="1:10" ht="21" customHeight="1">
      <c r="A86" s="216"/>
      <c r="B86" s="198"/>
      <c r="C86" s="198">
        <v>4300</v>
      </c>
      <c r="D86" s="198" t="str">
        <f>'Zbiorczo-paragr'!D267</f>
        <v xml:space="preserve">Zakup usług pozostałych                                 </v>
      </c>
      <c r="E86" s="206">
        <f>SUM(E87)</f>
        <v>30000</v>
      </c>
      <c r="F86" s="207">
        <f>SUM(F87)</f>
        <v>29900</v>
      </c>
      <c r="G86" s="196">
        <f t="shared" si="1"/>
        <v>0.9966666666666667</v>
      </c>
      <c r="H86" s="202"/>
      <c r="I86" s="188"/>
      <c r="J86" s="188"/>
    </row>
    <row r="87" spans="1:10" ht="63.75" customHeight="1">
      <c r="A87" s="216"/>
      <c r="B87" s="198"/>
      <c r="C87" s="198"/>
      <c r="D87" s="52" t="s">
        <v>826</v>
      </c>
      <c r="E87" s="194">
        <v>30000</v>
      </c>
      <c r="F87" s="195">
        <v>29900</v>
      </c>
      <c r="G87" s="196">
        <f t="shared" si="1"/>
        <v>0.9966666666666667</v>
      </c>
      <c r="H87" s="202"/>
      <c r="I87" s="188"/>
      <c r="J87" s="188"/>
    </row>
    <row r="88" spans="1:10" ht="21" customHeight="1">
      <c r="A88" s="216"/>
      <c r="B88" s="198"/>
      <c r="C88" s="198">
        <v>4360</v>
      </c>
      <c r="D88" s="198" t="str">
        <f>'Zbiorczo-paragr'!D270</f>
        <v xml:space="preserve">Opłaty z tytułu zakupu usług telekomunikacyjnych </v>
      </c>
      <c r="E88" s="206">
        <f>SUM(E89)</f>
        <v>1400</v>
      </c>
      <c r="F88" s="207">
        <f>SUM(F89)</f>
        <v>1400</v>
      </c>
      <c r="G88" s="196">
        <f t="shared" si="1"/>
        <v>1</v>
      </c>
      <c r="H88" s="202"/>
      <c r="I88" s="188"/>
      <c r="J88" s="188"/>
    </row>
    <row r="89" spans="1:10" ht="21" customHeight="1">
      <c r="A89" s="216"/>
      <c r="B89" s="198"/>
      <c r="C89" s="198"/>
      <c r="D89" s="198" t="s">
        <v>399</v>
      </c>
      <c r="E89" s="194">
        <v>1400</v>
      </c>
      <c r="F89" s="195">
        <v>1400</v>
      </c>
      <c r="G89" s="196">
        <f t="shared" si="1"/>
        <v>1</v>
      </c>
      <c r="H89" s="202"/>
      <c r="I89" s="188"/>
      <c r="J89" s="188"/>
    </row>
    <row r="90" spans="1:10" ht="21" customHeight="1">
      <c r="A90" s="216"/>
      <c r="B90" s="198"/>
      <c r="C90" s="198">
        <v>4390</v>
      </c>
      <c r="D90" s="198" t="str">
        <f>'Zbiorczo-paragr'!D273</f>
        <v>Zakup usług obejmujących wykonanie ekspertyz, analiz i opinii</v>
      </c>
      <c r="E90" s="194">
        <f>E91</f>
        <v>200</v>
      </c>
      <c r="F90" s="195">
        <f>F91</f>
        <v>200</v>
      </c>
      <c r="G90" s="196">
        <f t="shared" si="1"/>
        <v>1</v>
      </c>
      <c r="H90" s="202"/>
      <c r="I90" s="188"/>
      <c r="J90" s="188"/>
    </row>
    <row r="91" spans="1:10" ht="21" customHeight="1">
      <c r="A91" s="216"/>
      <c r="B91" s="198"/>
      <c r="C91" s="198"/>
      <c r="D91" s="198" t="s">
        <v>114</v>
      </c>
      <c r="E91" s="194">
        <v>200</v>
      </c>
      <c r="F91" s="195">
        <v>200</v>
      </c>
      <c r="G91" s="196">
        <f t="shared" si="1"/>
        <v>1</v>
      </c>
      <c r="H91" s="202"/>
      <c r="I91" s="188"/>
      <c r="J91" s="188"/>
    </row>
    <row r="92" spans="1:10" ht="21" customHeight="1">
      <c r="A92" s="216"/>
      <c r="B92" s="198"/>
      <c r="C92" s="198">
        <v>4410</v>
      </c>
      <c r="D92" s="198" t="str">
        <f>'Zbiorczo-paragr'!D276</f>
        <v xml:space="preserve">Podróże służbowe krajowe                                </v>
      </c>
      <c r="E92" s="206">
        <f>SUM(E93)</f>
        <v>300</v>
      </c>
      <c r="F92" s="207">
        <f>SUM(F93)</f>
        <v>300</v>
      </c>
      <c r="G92" s="196">
        <f t="shared" si="1"/>
        <v>1</v>
      </c>
      <c r="H92" s="202"/>
      <c r="I92" s="188"/>
      <c r="J92" s="188"/>
    </row>
    <row r="93" spans="1:10" ht="21" customHeight="1">
      <c r="A93" s="216"/>
      <c r="B93" s="198"/>
      <c r="C93" s="198"/>
      <c r="D93" s="198" t="s">
        <v>354</v>
      </c>
      <c r="E93" s="194">
        <v>300</v>
      </c>
      <c r="F93" s="195">
        <v>300</v>
      </c>
      <c r="G93" s="196">
        <f t="shared" si="1"/>
        <v>1</v>
      </c>
      <c r="H93" s="202"/>
      <c r="I93" s="188"/>
      <c r="J93" s="188"/>
    </row>
    <row r="94" spans="1:10" ht="21" customHeight="1">
      <c r="A94" s="216"/>
      <c r="B94" s="198"/>
      <c r="C94" s="198">
        <v>4430</v>
      </c>
      <c r="D94" s="198" t="str">
        <f>'Zbiorczo-paragr'!D279</f>
        <v xml:space="preserve">Różne opłaty i składki                                  </v>
      </c>
      <c r="E94" s="206">
        <f>SUM(E95)</f>
        <v>750</v>
      </c>
      <c r="F94" s="207">
        <f>SUM(F95)</f>
        <v>750</v>
      </c>
      <c r="G94" s="196">
        <f t="shared" si="1"/>
        <v>1</v>
      </c>
      <c r="H94" s="202"/>
      <c r="I94" s="188"/>
      <c r="J94" s="188"/>
    </row>
    <row r="95" spans="1:10" ht="21" customHeight="1">
      <c r="A95" s="216"/>
      <c r="B95" s="198"/>
      <c r="C95" s="198"/>
      <c r="D95" s="198" t="s">
        <v>355</v>
      </c>
      <c r="E95" s="194">
        <v>750</v>
      </c>
      <c r="F95" s="195">
        <v>750</v>
      </c>
      <c r="G95" s="196">
        <f t="shared" si="1"/>
        <v>1</v>
      </c>
      <c r="H95" s="202"/>
      <c r="I95" s="188"/>
      <c r="J95" s="188"/>
    </row>
    <row r="96" spans="1:10" ht="45" customHeight="1">
      <c r="A96" s="216"/>
      <c r="B96" s="198"/>
      <c r="C96" s="198">
        <v>4440</v>
      </c>
      <c r="D96" s="198" t="s">
        <v>16</v>
      </c>
      <c r="E96" s="194">
        <v>34361</v>
      </c>
      <c r="F96" s="195">
        <v>31827</v>
      </c>
      <c r="G96" s="196">
        <f t="shared" si="1"/>
        <v>0.92625360146677915</v>
      </c>
      <c r="H96" s="202"/>
      <c r="I96" s="188"/>
      <c r="J96" s="188"/>
    </row>
    <row r="97" spans="1:10" ht="21" customHeight="1">
      <c r="A97" s="216"/>
      <c r="B97" s="198"/>
      <c r="C97" s="198">
        <v>4700</v>
      </c>
      <c r="D97" s="198" t="str">
        <f>'Zbiorczo-paragr'!D127</f>
        <v xml:space="preserve">Szkolenia pracowników niebędących członkami korpusu służby cywilnej                                  </v>
      </c>
      <c r="E97" s="206">
        <f>SUM(E98)</f>
        <v>0</v>
      </c>
      <c r="F97" s="207">
        <f>SUM(F98)</f>
        <v>500</v>
      </c>
      <c r="G97" s="196" t="e">
        <f t="shared" si="1"/>
        <v>#DIV/0!</v>
      </c>
      <c r="H97" s="202"/>
      <c r="I97" s="188"/>
      <c r="J97" s="188"/>
    </row>
    <row r="98" spans="1:10" ht="21" customHeight="1">
      <c r="A98" s="216"/>
      <c r="B98" s="198"/>
      <c r="C98" s="198"/>
      <c r="D98" s="210" t="s">
        <v>17</v>
      </c>
      <c r="E98" s="194">
        <v>0</v>
      </c>
      <c r="F98" s="195">
        <v>500</v>
      </c>
      <c r="G98" s="196" t="e">
        <f t="shared" si="1"/>
        <v>#DIV/0!</v>
      </c>
      <c r="H98" s="202"/>
      <c r="I98" s="188"/>
      <c r="J98" s="188"/>
    </row>
    <row r="99" spans="1:10" ht="21" hidden="1" customHeight="1">
      <c r="A99" s="198"/>
      <c r="B99" s="198"/>
      <c r="C99" s="221">
        <v>6060</v>
      </c>
      <c r="D99" s="222" t="s">
        <v>414</v>
      </c>
      <c r="E99" s="194">
        <f>E100</f>
        <v>0</v>
      </c>
      <c r="F99" s="195">
        <f>F100</f>
        <v>0</v>
      </c>
      <c r="G99" s="196" t="e">
        <f t="shared" si="1"/>
        <v>#DIV/0!</v>
      </c>
      <c r="H99" s="202"/>
      <c r="I99" s="188"/>
      <c r="J99" s="188"/>
    </row>
    <row r="100" spans="1:10" ht="21" hidden="1" customHeight="1">
      <c r="A100" s="198"/>
      <c r="B100" s="198"/>
      <c r="C100" s="221"/>
      <c r="D100" s="222" t="s">
        <v>620</v>
      </c>
      <c r="E100" s="194">
        <v>0</v>
      </c>
      <c r="F100" s="195">
        <v>0</v>
      </c>
      <c r="G100" s="196" t="e">
        <f t="shared" si="1"/>
        <v>#DIV/0!</v>
      </c>
      <c r="H100" s="202"/>
      <c r="I100" s="188"/>
      <c r="J100" s="188"/>
    </row>
    <row r="101" spans="1:10" ht="21" customHeight="1">
      <c r="A101" s="538" t="s">
        <v>66</v>
      </c>
      <c r="B101" s="539"/>
      <c r="C101" s="539"/>
      <c r="D101" s="540"/>
      <c r="E101" s="215">
        <f>E64+E67+E70+E71+E72+E73+E75+E77+E79+E80+E82+E85+E86+E88+E90+E92+E94+E96+E97+E99</f>
        <v>940168</v>
      </c>
      <c r="F101" s="215">
        <f>F64+F67+F70+F71+F72+F73+F75+F77+F79+F80+F82+F85+F86+F88+F90+F92+F94+F96+F97+F99</f>
        <v>1022027</v>
      </c>
      <c r="G101" s="214">
        <f t="shared" si="1"/>
        <v>1.0870684813777962</v>
      </c>
      <c r="H101" s="202"/>
      <c r="I101" s="188"/>
      <c r="J101" s="188"/>
    </row>
    <row r="102" spans="1:10" ht="17.25" customHeight="1">
      <c r="A102" s="190">
        <f>'Zbiorczo-paragr'!A316</f>
        <v>801</v>
      </c>
      <c r="B102" s="190">
        <f>'Zbiorczo-paragr'!B316</f>
        <v>80110</v>
      </c>
      <c r="C102" s="190">
        <f>'Zbiorczo-paragr'!C316</f>
        <v>3020</v>
      </c>
      <c r="D102" s="198" t="str">
        <f>'Zbiorczo-paragr'!D316</f>
        <v xml:space="preserve"> Wydatki osobowe nie zaliczone do wynagrodzeń  </v>
      </c>
      <c r="E102" s="194">
        <f>SUM(E103:E104)</f>
        <v>63760</v>
      </c>
      <c r="F102" s="194">
        <f>SUM(F103:F104)</f>
        <v>16500</v>
      </c>
      <c r="G102" s="196">
        <f t="shared" ref="G102:G204" si="2">SUM(F102/E102)</f>
        <v>0.25878293601003766</v>
      </c>
      <c r="H102" s="223"/>
      <c r="I102" s="188"/>
      <c r="J102" s="188"/>
    </row>
    <row r="103" spans="1:10" ht="20.45" customHeight="1">
      <c r="A103" s="190"/>
      <c r="B103" s="198"/>
      <c r="C103" s="198"/>
      <c r="D103" s="29" t="s">
        <v>778</v>
      </c>
      <c r="E103" s="200">
        <f>63760-E104</f>
        <v>63260</v>
      </c>
      <c r="F103" s="201">
        <f>16500-F104</f>
        <v>16000</v>
      </c>
      <c r="G103" s="196">
        <f t="shared" si="2"/>
        <v>0.25292443882390137</v>
      </c>
      <c r="H103" s="223"/>
      <c r="I103" s="188"/>
      <c r="J103" s="188"/>
    </row>
    <row r="104" spans="1:10" ht="18" customHeight="1">
      <c r="A104" s="190"/>
      <c r="B104" s="198"/>
      <c r="C104" s="198"/>
      <c r="D104" s="199" t="s">
        <v>631</v>
      </c>
      <c r="E104" s="200">
        <v>500</v>
      </c>
      <c r="F104" s="201">
        <v>500</v>
      </c>
      <c r="G104" s="196">
        <f t="shared" si="2"/>
        <v>1</v>
      </c>
      <c r="H104" s="188"/>
      <c r="I104" s="188"/>
      <c r="J104" s="188"/>
    </row>
    <row r="105" spans="1:10" ht="16.5" customHeight="1">
      <c r="A105" s="190"/>
      <c r="B105" s="198"/>
      <c r="C105" s="198">
        <f>'Zbiorczo-paragr'!C320</f>
        <v>4010</v>
      </c>
      <c r="D105" s="198" t="str">
        <f>'Zbiorczo-paragr'!D320</f>
        <v xml:space="preserve">Wynagrodzenia osobowe pracowników                       </v>
      </c>
      <c r="E105" s="194">
        <f>SUM(E106:E107)</f>
        <v>743040</v>
      </c>
      <c r="F105" s="195">
        <f>SUM(F106:F107)</f>
        <v>329000</v>
      </c>
      <c r="G105" s="196">
        <f t="shared" si="2"/>
        <v>0.44277562446167096</v>
      </c>
      <c r="H105" s="188"/>
      <c r="I105" s="188"/>
      <c r="J105" s="188"/>
    </row>
    <row r="106" spans="1:10" ht="33.75" customHeight="1">
      <c r="A106" s="190"/>
      <c r="B106" s="198"/>
      <c r="C106" s="198"/>
      <c r="D106" s="60" t="s">
        <v>844</v>
      </c>
      <c r="E106" s="204">
        <f>743040-E107</f>
        <v>718040</v>
      </c>
      <c r="F106" s="205">
        <f>329000-F107</f>
        <v>329000</v>
      </c>
      <c r="G106" s="196">
        <f t="shared" si="2"/>
        <v>0.45819174419252412</v>
      </c>
      <c r="H106" s="188"/>
      <c r="I106" s="188"/>
      <c r="J106" s="188"/>
    </row>
    <row r="107" spans="1:10" ht="19.5" customHeight="1">
      <c r="A107" s="190"/>
      <c r="B107" s="198"/>
      <c r="C107" s="198"/>
      <c r="D107" s="60" t="s">
        <v>845</v>
      </c>
      <c r="E107" s="204">
        <v>25000</v>
      </c>
      <c r="F107" s="205">
        <v>0</v>
      </c>
      <c r="G107" s="196">
        <f t="shared" si="2"/>
        <v>0</v>
      </c>
      <c r="H107" s="188"/>
      <c r="I107" s="188"/>
      <c r="J107" s="188"/>
    </row>
    <row r="108" spans="1:10" ht="45.75" customHeight="1">
      <c r="A108" s="190"/>
      <c r="B108" s="198"/>
      <c r="C108" s="198">
        <f>'Zbiorczo-paragr'!C327</f>
        <v>4040</v>
      </c>
      <c r="D108" s="198" t="s">
        <v>227</v>
      </c>
      <c r="E108" s="204">
        <v>71000</v>
      </c>
      <c r="F108" s="205">
        <v>62000</v>
      </c>
      <c r="G108" s="196">
        <f t="shared" si="2"/>
        <v>0.87323943661971826</v>
      </c>
      <c r="H108" s="188"/>
      <c r="I108" s="188"/>
      <c r="J108" s="188"/>
    </row>
    <row r="109" spans="1:10" ht="18" customHeight="1">
      <c r="A109" s="190"/>
      <c r="B109" s="198"/>
      <c r="C109" s="198">
        <f>'Zbiorczo-paragr'!C331</f>
        <v>4110</v>
      </c>
      <c r="D109" s="198" t="str">
        <f>'Zbiorczo-paragr'!D331</f>
        <v xml:space="preserve">Składki na ubezpieczenia społeczne                      </v>
      </c>
      <c r="E109" s="204">
        <v>156990</v>
      </c>
      <c r="F109" s="205">
        <v>71000</v>
      </c>
      <c r="G109" s="196">
        <f t="shared" si="2"/>
        <v>0.45225810561182239</v>
      </c>
      <c r="H109" s="188"/>
      <c r="I109" s="188"/>
      <c r="J109" s="188"/>
    </row>
    <row r="110" spans="1:10" ht="18.75" customHeight="1">
      <c r="A110" s="190"/>
      <c r="B110" s="198"/>
      <c r="C110" s="198">
        <f>'Zbiorczo-paragr'!C335</f>
        <v>4120</v>
      </c>
      <c r="D110" s="198" t="str">
        <f>'Zbiorczo-paragr'!D335</f>
        <v xml:space="preserve">Składki na Fundusz Pracy                                </v>
      </c>
      <c r="E110" s="204">
        <v>19450</v>
      </c>
      <c r="F110" s="205">
        <v>9000</v>
      </c>
      <c r="G110" s="196">
        <f t="shared" si="2"/>
        <v>0.46272493573264784</v>
      </c>
      <c r="H110" s="188"/>
      <c r="I110" s="188"/>
      <c r="J110" s="188"/>
    </row>
    <row r="111" spans="1:10" ht="16.5" hidden="1" customHeight="1">
      <c r="A111" s="190"/>
      <c r="B111" s="198"/>
      <c r="C111" s="198">
        <f>'Zbiorczo-paragr'!C339</f>
        <v>4170</v>
      </c>
      <c r="D111" s="198" t="str">
        <f>'Zbiorczo-paragr'!D339</f>
        <v>Wynagrodzenia bezosobowe</v>
      </c>
      <c r="E111" s="206">
        <f>SUM(E112)</f>
        <v>0</v>
      </c>
      <c r="F111" s="207">
        <f>SUM(F112)</f>
        <v>0</v>
      </c>
      <c r="G111" s="196" t="e">
        <f t="shared" si="2"/>
        <v>#DIV/0!</v>
      </c>
      <c r="H111" s="188"/>
      <c r="I111" s="188"/>
      <c r="J111" s="188"/>
    </row>
    <row r="112" spans="1:10" ht="16.5" hidden="1" customHeight="1">
      <c r="A112" s="190"/>
      <c r="B112" s="198"/>
      <c r="C112" s="198"/>
      <c r="D112" s="198" t="s">
        <v>225</v>
      </c>
      <c r="E112" s="204">
        <v>0</v>
      </c>
      <c r="F112" s="205">
        <v>0</v>
      </c>
      <c r="G112" s="196" t="e">
        <f t="shared" si="2"/>
        <v>#DIV/0!</v>
      </c>
      <c r="H112" s="188"/>
      <c r="I112" s="188"/>
      <c r="J112" s="188"/>
    </row>
    <row r="113" spans="1:13" ht="14.25" customHeight="1">
      <c r="A113" s="190"/>
      <c r="B113" s="198"/>
      <c r="C113" s="198">
        <v>4190</v>
      </c>
      <c r="D113" s="198" t="str">
        <f>'Zbiorczo-paragr'!D343</f>
        <v>Nagrody konkursowe</v>
      </c>
      <c r="E113" s="204">
        <f>E114</f>
        <v>800</v>
      </c>
      <c r="F113" s="205">
        <f>F114</f>
        <v>500</v>
      </c>
      <c r="G113" s="196">
        <f t="shared" si="2"/>
        <v>0.625</v>
      </c>
      <c r="H113" s="188"/>
      <c r="I113" s="188"/>
      <c r="J113" s="188"/>
    </row>
    <row r="114" spans="1:13" ht="15.6" customHeight="1">
      <c r="A114" s="190"/>
      <c r="B114" s="198"/>
      <c r="C114" s="198"/>
      <c r="D114" s="198" t="s">
        <v>456</v>
      </c>
      <c r="E114" s="204">
        <v>800</v>
      </c>
      <c r="F114" s="205">
        <v>500</v>
      </c>
      <c r="G114" s="196">
        <f t="shared" si="2"/>
        <v>0.625</v>
      </c>
      <c r="H114" s="188"/>
      <c r="I114" s="188"/>
      <c r="J114" s="188"/>
    </row>
    <row r="115" spans="1:13" ht="14.25" customHeight="1">
      <c r="A115" s="190"/>
      <c r="B115" s="198"/>
      <c r="C115" s="198">
        <f>'Zbiorczo-paragr'!C347</f>
        <v>4210</v>
      </c>
      <c r="D115" s="198" t="str">
        <f>'Zbiorczo-paragr'!D347</f>
        <v xml:space="preserve">Zakup materiałów i wyposażenia                          </v>
      </c>
      <c r="E115" s="194">
        <f>SUM(E116)</f>
        <v>25000</v>
      </c>
      <c r="F115" s="195">
        <f>SUM(F116)</f>
        <v>16500</v>
      </c>
      <c r="G115" s="196">
        <f>SUM(F115/E115)</f>
        <v>0.66</v>
      </c>
      <c r="H115" s="188"/>
      <c r="I115" s="188"/>
      <c r="J115" s="188"/>
    </row>
    <row r="116" spans="1:13" ht="45" customHeight="1">
      <c r="A116" s="190"/>
      <c r="B116" s="198"/>
      <c r="C116" s="198"/>
      <c r="D116" s="199" t="s">
        <v>634</v>
      </c>
      <c r="E116" s="200">
        <v>25000</v>
      </c>
      <c r="F116" s="201">
        <v>16500</v>
      </c>
      <c r="G116" s="196">
        <f>SUM(F116/E116)</f>
        <v>0.66</v>
      </c>
      <c r="H116" s="188"/>
      <c r="I116" s="188"/>
      <c r="J116" s="188"/>
    </row>
    <row r="117" spans="1:13" ht="19.5" hidden="1" customHeight="1">
      <c r="A117" s="190"/>
      <c r="B117" s="198"/>
      <c r="C117" s="198">
        <f>'Zbiorczo-paragr'!C351</f>
        <v>4220</v>
      </c>
      <c r="D117" s="198" t="str">
        <f>'Zbiorczo-paragr'!D351</f>
        <v xml:space="preserve">Zakup środków żywności    </v>
      </c>
      <c r="E117" s="200">
        <f>E118</f>
        <v>0</v>
      </c>
      <c r="F117" s="201">
        <f>F118</f>
        <v>0</v>
      </c>
      <c r="G117" s="196" t="e">
        <f>SUM(F117/E117)</f>
        <v>#DIV/0!</v>
      </c>
      <c r="H117" s="188"/>
      <c r="I117" s="188"/>
      <c r="J117" s="188"/>
    </row>
    <row r="118" spans="1:13" ht="18" hidden="1" customHeight="1">
      <c r="A118" s="190"/>
      <c r="B118" s="198"/>
      <c r="C118" s="198"/>
      <c r="D118" s="199" t="s">
        <v>493</v>
      </c>
      <c r="E118" s="200">
        <v>0</v>
      </c>
      <c r="F118" s="201">
        <v>0</v>
      </c>
      <c r="G118" s="196" t="e">
        <f>SUM(F118/E118)</f>
        <v>#DIV/0!</v>
      </c>
      <c r="H118" s="188"/>
      <c r="I118" s="188"/>
      <c r="J118" s="188"/>
    </row>
    <row r="119" spans="1:13" ht="15" customHeight="1">
      <c r="A119" s="190"/>
      <c r="B119" s="198"/>
      <c r="C119" s="198">
        <f>'Zbiorczo-paragr'!C355</f>
        <v>4240</v>
      </c>
      <c r="D119" s="199" t="s">
        <v>126</v>
      </c>
      <c r="E119" s="204">
        <f>SUM(E120:E122)</f>
        <v>6565</v>
      </c>
      <c r="F119" s="205">
        <f>SUM(F120:F122)</f>
        <v>9000</v>
      </c>
      <c r="G119" s="196">
        <f t="shared" si="2"/>
        <v>1.3709063214013708</v>
      </c>
      <c r="H119" s="188"/>
      <c r="I119" s="188"/>
      <c r="J119" s="188"/>
    </row>
    <row r="120" spans="1:13" ht="30" customHeight="1">
      <c r="A120" s="190"/>
      <c r="B120" s="198"/>
      <c r="C120" s="198"/>
      <c r="D120" s="198" t="s">
        <v>635</v>
      </c>
      <c r="E120" s="204">
        <v>6565</v>
      </c>
      <c r="F120" s="205">
        <v>9000</v>
      </c>
      <c r="G120" s="196">
        <f t="shared" si="2"/>
        <v>1.3709063214013708</v>
      </c>
      <c r="H120" s="188"/>
      <c r="I120" s="188"/>
      <c r="J120" s="188"/>
    </row>
    <row r="121" spans="1:13" ht="17.25" hidden="1" customHeight="1">
      <c r="A121" s="190"/>
      <c r="B121" s="198"/>
      <c r="C121" s="198"/>
      <c r="D121" s="199" t="s">
        <v>612</v>
      </c>
      <c r="E121" s="204">
        <v>0</v>
      </c>
      <c r="F121" s="205"/>
      <c r="G121" s="196"/>
      <c r="H121" s="188"/>
      <c r="I121" s="188"/>
      <c r="J121" s="188"/>
    </row>
    <row r="122" spans="1:13" ht="15" hidden="1" customHeight="1">
      <c r="A122" s="190"/>
      <c r="B122" s="198"/>
      <c r="C122" s="198"/>
      <c r="D122" s="199" t="s">
        <v>609</v>
      </c>
      <c r="E122" s="204">
        <v>0</v>
      </c>
      <c r="F122" s="205">
        <v>0</v>
      </c>
      <c r="G122" s="196" t="e">
        <f t="shared" si="2"/>
        <v>#DIV/0!</v>
      </c>
      <c r="H122" s="188"/>
      <c r="I122" s="188"/>
      <c r="J122" s="188"/>
    </row>
    <row r="123" spans="1:13" ht="16.5" customHeight="1">
      <c r="A123" s="190"/>
      <c r="B123" s="198"/>
      <c r="C123" s="198">
        <f>'Zbiorczo-paragr'!C359</f>
        <v>4270</v>
      </c>
      <c r="D123" s="198" t="str">
        <f>'Zbiorczo-paragr'!D359</f>
        <v xml:space="preserve">Zakup usług remontowych                                 </v>
      </c>
      <c r="E123" s="194">
        <f>SUM(E124)</f>
        <v>1000</v>
      </c>
      <c r="F123" s="195">
        <f>SUM(F124)</f>
        <v>1000</v>
      </c>
      <c r="G123" s="196">
        <f t="shared" si="2"/>
        <v>1</v>
      </c>
      <c r="H123" s="188"/>
      <c r="I123" s="188"/>
      <c r="J123" s="188"/>
    </row>
    <row r="124" spans="1:13" ht="19.5" customHeight="1">
      <c r="A124" s="190"/>
      <c r="B124" s="198"/>
      <c r="C124" s="198"/>
      <c r="D124" s="198" t="s">
        <v>350</v>
      </c>
      <c r="E124" s="204">
        <v>1000</v>
      </c>
      <c r="F124" s="205">
        <v>1000</v>
      </c>
      <c r="G124" s="196">
        <f t="shared" si="2"/>
        <v>1</v>
      </c>
      <c r="H124" s="188"/>
      <c r="I124" s="188"/>
      <c r="J124" s="188"/>
    </row>
    <row r="125" spans="1:13" ht="30.75" customHeight="1">
      <c r="A125" s="190"/>
      <c r="B125" s="198"/>
      <c r="C125" s="198">
        <f>'Zbiorczo-paragr'!C365</f>
        <v>4280</v>
      </c>
      <c r="D125" s="198" t="s">
        <v>374</v>
      </c>
      <c r="E125" s="204">
        <v>1000</v>
      </c>
      <c r="F125" s="205">
        <v>350</v>
      </c>
      <c r="G125" s="196">
        <f t="shared" si="2"/>
        <v>0.35</v>
      </c>
      <c r="H125" s="188"/>
      <c r="I125" s="188"/>
      <c r="J125" s="188"/>
    </row>
    <row r="126" spans="1:13" ht="15.75" customHeight="1">
      <c r="A126" s="190"/>
      <c r="B126" s="198"/>
      <c r="C126" s="198">
        <f>'Zbiorczo-paragr'!C369</f>
        <v>4300</v>
      </c>
      <c r="D126" s="198" t="str">
        <f>'Zbiorczo-paragr'!D369</f>
        <v xml:space="preserve">Zakup usług pozostałych                                 </v>
      </c>
      <c r="E126" s="194">
        <f>SUM(E127)</f>
        <v>17435</v>
      </c>
      <c r="F126" s="195">
        <f>SUM(F127)</f>
        <v>7000</v>
      </c>
      <c r="G126" s="196">
        <f t="shared" si="2"/>
        <v>0.401491253226269</v>
      </c>
      <c r="H126" s="188"/>
      <c r="I126" s="188"/>
      <c r="J126" s="188"/>
    </row>
    <row r="127" spans="1:13" ht="32.25" customHeight="1">
      <c r="A127" s="190"/>
      <c r="B127" s="198"/>
      <c r="C127" s="198"/>
      <c r="D127" s="27" t="s">
        <v>846</v>
      </c>
      <c r="E127" s="200">
        <v>17435</v>
      </c>
      <c r="F127" s="201">
        <v>7000</v>
      </c>
      <c r="G127" s="196">
        <f t="shared" si="2"/>
        <v>0.401491253226269</v>
      </c>
      <c r="H127" s="188"/>
      <c r="I127" s="188"/>
      <c r="J127" s="188"/>
    </row>
    <row r="128" spans="1:13" ht="16.5" customHeight="1">
      <c r="A128" s="190"/>
      <c r="B128" s="198"/>
      <c r="C128" s="198">
        <f>'Zbiorczo-paragr'!C373</f>
        <v>4360</v>
      </c>
      <c r="D128" s="198" t="str">
        <f>'Zbiorczo-paragr'!D373</f>
        <v xml:space="preserve">Opłaty z tytułu zakupu usług telekomunikacyjnych   </v>
      </c>
      <c r="E128" s="194">
        <f>SUM(E129)</f>
        <v>2500</v>
      </c>
      <c r="F128" s="195">
        <f>SUM(F129)</f>
        <v>1500</v>
      </c>
      <c r="G128" s="196">
        <f t="shared" si="2"/>
        <v>0.6</v>
      </c>
      <c r="H128" s="188"/>
      <c r="I128" s="188"/>
      <c r="J128" s="188"/>
      <c r="M128" s="197" t="s">
        <v>460</v>
      </c>
    </row>
    <row r="129" spans="1:10" ht="18.75" customHeight="1">
      <c r="A129" s="190"/>
      <c r="B129" s="198"/>
      <c r="C129" s="198"/>
      <c r="D129" s="198" t="s">
        <v>291</v>
      </c>
      <c r="E129" s="200">
        <v>2500</v>
      </c>
      <c r="F129" s="201">
        <v>1500</v>
      </c>
      <c r="G129" s="196">
        <f t="shared" si="2"/>
        <v>0.6</v>
      </c>
      <c r="H129" s="188"/>
      <c r="I129" s="188"/>
      <c r="J129" s="188"/>
    </row>
    <row r="130" spans="1:10" ht="16.5" customHeight="1">
      <c r="A130" s="190"/>
      <c r="B130" s="198"/>
      <c r="C130" s="198">
        <f>'Zbiorczo-paragr'!C376</f>
        <v>4410</v>
      </c>
      <c r="D130" s="198" t="str">
        <f>'Zbiorczo-paragr'!D376</f>
        <v xml:space="preserve">Podróże służbowe krajowe                                </v>
      </c>
      <c r="E130" s="194">
        <f>SUM(E131)</f>
        <v>1000</v>
      </c>
      <c r="F130" s="195">
        <f>SUM(F131)</f>
        <v>0</v>
      </c>
      <c r="G130" s="196">
        <f t="shared" si="2"/>
        <v>0</v>
      </c>
      <c r="H130" s="188"/>
      <c r="I130" s="188"/>
      <c r="J130" s="188"/>
    </row>
    <row r="131" spans="1:10" ht="32.450000000000003" customHeight="1">
      <c r="A131" s="190"/>
      <c r="B131" s="198"/>
      <c r="C131" s="198"/>
      <c r="D131" s="198" t="s">
        <v>221</v>
      </c>
      <c r="E131" s="200">
        <v>1000</v>
      </c>
      <c r="F131" s="201">
        <v>0</v>
      </c>
      <c r="G131" s="196">
        <f t="shared" si="2"/>
        <v>0</v>
      </c>
      <c r="H131" s="188"/>
      <c r="I131" s="188"/>
      <c r="J131" s="188"/>
    </row>
    <row r="132" spans="1:10" ht="18" customHeight="1">
      <c r="A132" s="190"/>
      <c r="B132" s="198"/>
      <c r="C132" s="198">
        <f>'Zbiorczo-paragr'!C382</f>
        <v>4430</v>
      </c>
      <c r="D132" s="198" t="str">
        <f>'Zbiorczo-paragr'!D382</f>
        <v xml:space="preserve">Różne opłaty i składki                                  </v>
      </c>
      <c r="E132" s="194">
        <f>SUM(E133)</f>
        <v>750</v>
      </c>
      <c r="F132" s="195">
        <f>SUM(F133)</f>
        <v>0</v>
      </c>
      <c r="G132" s="196">
        <f t="shared" si="2"/>
        <v>0</v>
      </c>
      <c r="H132" s="188"/>
      <c r="I132" s="188"/>
      <c r="J132" s="188"/>
    </row>
    <row r="133" spans="1:10" ht="16.5" customHeight="1">
      <c r="A133" s="190"/>
      <c r="B133" s="198"/>
      <c r="C133" s="198"/>
      <c r="D133" s="198" t="s">
        <v>211</v>
      </c>
      <c r="E133" s="200">
        <v>750</v>
      </c>
      <c r="F133" s="201">
        <v>0</v>
      </c>
      <c r="G133" s="196">
        <f t="shared" si="2"/>
        <v>0</v>
      </c>
      <c r="H133" s="188"/>
      <c r="I133" s="188"/>
      <c r="J133" s="188"/>
    </row>
    <row r="134" spans="1:10" ht="49.5" customHeight="1">
      <c r="A134" s="190"/>
      <c r="B134" s="198"/>
      <c r="C134" s="198">
        <f>'Zbiorczo-paragr'!C386</f>
        <v>4440</v>
      </c>
      <c r="D134" s="198" t="s">
        <v>16</v>
      </c>
      <c r="E134" s="204">
        <v>37137</v>
      </c>
      <c r="F134" s="205">
        <v>24125</v>
      </c>
      <c r="G134" s="196">
        <f t="shared" si="2"/>
        <v>0.64962167110967495</v>
      </c>
      <c r="H134" s="188"/>
      <c r="I134" s="188"/>
      <c r="J134" s="188"/>
    </row>
    <row r="135" spans="1:10" hidden="1">
      <c r="A135" s="190"/>
      <c r="B135" s="224"/>
      <c r="C135" s="210">
        <v>4700</v>
      </c>
      <c r="D135" s="199" t="s">
        <v>243</v>
      </c>
      <c r="E135" s="206">
        <f>SUM(E136)</f>
        <v>0</v>
      </c>
      <c r="F135" s="207">
        <f>SUM(F136)</f>
        <v>0</v>
      </c>
      <c r="G135" s="196" t="e">
        <f t="shared" si="2"/>
        <v>#DIV/0!</v>
      </c>
      <c r="H135" s="188"/>
      <c r="I135" s="188"/>
      <c r="J135" s="188"/>
    </row>
    <row r="136" spans="1:10" ht="16.5" hidden="1" customHeight="1">
      <c r="A136" s="190"/>
      <c r="B136" s="224"/>
      <c r="C136" s="210"/>
      <c r="D136" s="210" t="s">
        <v>286</v>
      </c>
      <c r="E136" s="204">
        <v>0</v>
      </c>
      <c r="F136" s="205">
        <v>0</v>
      </c>
      <c r="G136" s="196" t="e">
        <f t="shared" si="2"/>
        <v>#DIV/0!</v>
      </c>
      <c r="H136" s="188"/>
      <c r="I136" s="188"/>
      <c r="J136" s="188"/>
    </row>
    <row r="137" spans="1:10" ht="19.5" customHeight="1">
      <c r="A137" s="535" t="str">
        <f>'Zbiorczo-paragr'!A394:D394</f>
        <v>81010 Gimnazja : Razem</v>
      </c>
      <c r="B137" s="536"/>
      <c r="C137" s="536"/>
      <c r="D137" s="537"/>
      <c r="E137" s="215">
        <f>E102+E105+E108+E109+E110+E111+E115+E113+E117+E119+E123+E125+E126+E128+E130+E132+E134+E135</f>
        <v>1147427</v>
      </c>
      <c r="F137" s="215">
        <f>F102+F105+F108+F109+F110+F111+F115+F113+F117+F119+F123+F125+F126+F128+F130+F132+F134+F135</f>
        <v>547475</v>
      </c>
      <c r="G137" s="214">
        <f t="shared" si="2"/>
        <v>0.4771327500573021</v>
      </c>
      <c r="H137" s="202"/>
      <c r="I137" s="188"/>
      <c r="J137" s="188"/>
    </row>
    <row r="138" spans="1:10">
      <c r="A138" s="190">
        <f>'Zbiorczo-paragr'!A439</f>
        <v>801</v>
      </c>
      <c r="B138" s="190">
        <f>'Zbiorczo-paragr'!B439</f>
        <v>80146</v>
      </c>
      <c r="C138" s="190">
        <f>'Zbiorczo-paragr'!C439</f>
        <v>3020</v>
      </c>
      <c r="D138" s="193" t="str">
        <f>'Zbiorczo-paragr'!D439</f>
        <v xml:space="preserve">Wydatki osobowe niezaliczone do wynagrodzeń  </v>
      </c>
      <c r="E138" s="194">
        <f>SUM(E139:E145)</f>
        <v>3900</v>
      </c>
      <c r="F138" s="195">
        <f>SUM(F139:F145)</f>
        <v>2000</v>
      </c>
      <c r="G138" s="196">
        <f t="shared" si="2"/>
        <v>0.51282051282051277</v>
      </c>
      <c r="H138" s="188"/>
      <c r="I138" s="188"/>
      <c r="J138" s="188"/>
    </row>
    <row r="139" spans="1:10" ht="28.5" customHeight="1">
      <c r="A139" s="190"/>
      <c r="B139" s="198"/>
      <c r="C139" s="198"/>
      <c r="D139" s="198" t="str">
        <f>'Zbiorczo-paragr'!D440</f>
        <v>opłaty za kształcenie pobierane przez szkoły wyższe i zakłady kształcenia nauczycieli - szkoła podstawowa</v>
      </c>
      <c r="E139" s="194">
        <v>2600</v>
      </c>
      <c r="F139" s="195">
        <v>0</v>
      </c>
      <c r="G139" s="196">
        <f t="shared" si="2"/>
        <v>0</v>
      </c>
      <c r="H139" s="188"/>
      <c r="I139" s="188"/>
      <c r="J139" s="188"/>
    </row>
    <row r="140" spans="1:10" ht="30" customHeight="1">
      <c r="A140" s="190"/>
      <c r="B140" s="198"/>
      <c r="C140" s="198"/>
      <c r="D140" s="198" t="str">
        <f>'Zbiorczo-paragr'!D441</f>
        <v>opłaty za kształcenie pobierane przez szkoły wyższe i zakłady kształcenia nauczycieli - gimnazjum</v>
      </c>
      <c r="E140" s="200">
        <v>1300</v>
      </c>
      <c r="F140" s="201">
        <v>0</v>
      </c>
      <c r="G140" s="196">
        <f t="shared" si="2"/>
        <v>0</v>
      </c>
      <c r="H140" s="188"/>
      <c r="I140" s="188"/>
      <c r="J140" s="188"/>
    </row>
    <row r="141" spans="1:10" ht="30" customHeight="1">
      <c r="A141" s="190"/>
      <c r="B141" s="198"/>
      <c r="C141" s="198"/>
      <c r="D141" s="198" t="str">
        <f>'Zbiorczo-paragr'!D442</f>
        <v>opłaty za kształcenie pobierane przez szkoły wyższe i zakłady kształcenia nauczycieli - przedszkole</v>
      </c>
      <c r="E141" s="200">
        <v>0</v>
      </c>
      <c r="F141" s="201">
        <v>2000</v>
      </c>
      <c r="G141" s="196" t="e">
        <f t="shared" si="2"/>
        <v>#DIV/0!</v>
      </c>
      <c r="H141" s="188"/>
      <c r="I141" s="188"/>
      <c r="J141" s="188"/>
    </row>
    <row r="142" spans="1:10" ht="20.25" hidden="1" customHeight="1">
      <c r="A142" s="190"/>
      <c r="B142" s="198"/>
      <c r="C142" s="198">
        <v>4410</v>
      </c>
      <c r="D142" s="198" t="str">
        <f>'Zbiorczo-paragr'!D442</f>
        <v>opłaty za kształcenie pobierane przez szkoły wyższe i zakłady kształcenia nauczycieli - przedszkole</v>
      </c>
      <c r="E142" s="200">
        <f>E143+E144</f>
        <v>0</v>
      </c>
      <c r="F142" s="201">
        <f>F143+F144</f>
        <v>0</v>
      </c>
      <c r="G142" s="196" t="e">
        <f t="shared" si="2"/>
        <v>#DIV/0!</v>
      </c>
      <c r="H142" s="188"/>
      <c r="I142" s="188"/>
      <c r="J142" s="188"/>
    </row>
    <row r="143" spans="1:10" ht="15.75" hidden="1" customHeight="1">
      <c r="A143" s="190"/>
      <c r="B143" s="198"/>
      <c r="C143" s="198"/>
      <c r="D143" s="198" t="str">
        <f>'Zbiorczo-paragr'!D443</f>
        <v>opłaty za kształcenie pobierane przez szkoły wyższe i zakłady kształcenia nauczycieli - LO</v>
      </c>
      <c r="E143" s="200">
        <v>0</v>
      </c>
      <c r="F143" s="201">
        <v>0</v>
      </c>
      <c r="G143" s="196" t="e">
        <f t="shared" si="2"/>
        <v>#DIV/0!</v>
      </c>
      <c r="H143" s="188"/>
      <c r="I143" s="188"/>
      <c r="J143" s="188"/>
    </row>
    <row r="144" spans="1:10" ht="15.75" hidden="1" customHeight="1">
      <c r="A144" s="190"/>
      <c r="B144" s="198"/>
      <c r="C144" s="198"/>
      <c r="D144" s="198" t="str">
        <f>'Zbiorczo-paragr'!D444</f>
        <v xml:space="preserve">Podróże służbowe krajowe                                </v>
      </c>
      <c r="E144" s="200">
        <v>0</v>
      </c>
      <c r="F144" s="201">
        <v>0</v>
      </c>
      <c r="G144" s="196" t="e">
        <f t="shared" si="2"/>
        <v>#DIV/0!</v>
      </c>
      <c r="H144" s="188"/>
      <c r="I144" s="188"/>
      <c r="J144" s="188"/>
    </row>
    <row r="145" spans="1:10" ht="29.25" hidden="1" customHeight="1">
      <c r="A145" s="190"/>
      <c r="B145" s="198"/>
      <c r="C145" s="198"/>
      <c r="D145" s="198" t="str">
        <f>'Zbiorczo-paragr'!D442</f>
        <v>opłaty za kształcenie pobierane przez szkoły wyższe i zakłady kształcenia nauczycieli - przedszkole</v>
      </c>
      <c r="E145" s="200">
        <v>0</v>
      </c>
      <c r="F145" s="201">
        <v>0</v>
      </c>
      <c r="G145" s="196" t="e">
        <f t="shared" si="2"/>
        <v>#DIV/0!</v>
      </c>
      <c r="H145" s="188"/>
      <c r="I145" s="188"/>
      <c r="J145" s="188"/>
    </row>
    <row r="146" spans="1:10" ht="18" customHeight="1">
      <c r="A146" s="190"/>
      <c r="B146" s="198"/>
      <c r="C146" s="210">
        <f>'Zbiorczo-paragr'!C436</f>
        <v>4700</v>
      </c>
      <c r="D146" s="210" t="str">
        <f>'Zbiorczo-paragr'!D436</f>
        <v>Szkolenie pracowników niebędących członkami korpusu służby cywilnej</v>
      </c>
      <c r="E146" s="194">
        <f>SUM(E147:E149)</f>
        <v>33025</v>
      </c>
      <c r="F146" s="195">
        <f>SUM(F147:F149)</f>
        <v>29233</v>
      </c>
      <c r="G146" s="196">
        <f t="shared" si="2"/>
        <v>0.88517789553368664</v>
      </c>
      <c r="H146" s="188"/>
      <c r="I146" s="188"/>
      <c r="J146" s="188"/>
    </row>
    <row r="147" spans="1:10" ht="18" customHeight="1">
      <c r="A147" s="190"/>
      <c r="B147" s="198"/>
      <c r="C147" s="198"/>
      <c r="D147" s="210" t="str">
        <f>'Zbiorczo-paragr'!D450</f>
        <v>opłaty za szkolenia nauczycieli - szkoła podstawowa</v>
      </c>
      <c r="E147" s="200">
        <v>25277</v>
      </c>
      <c r="F147" s="201">
        <f>'[3]Nowa Wieś'!$G$58+'[3]Nowa Wieś'!$G$60+'[3]Nowa Wieś'!$G$61-F139-F168</f>
        <v>27042</v>
      </c>
      <c r="G147" s="196">
        <f t="shared" si="2"/>
        <v>1.0698263243264627</v>
      </c>
      <c r="H147" s="188"/>
      <c r="I147" s="188"/>
      <c r="J147" s="188"/>
    </row>
    <row r="148" spans="1:10" ht="18" customHeight="1">
      <c r="A148" s="190"/>
      <c r="B148" s="198"/>
      <c r="C148" s="198"/>
      <c r="D148" s="210" t="str">
        <f>'Zbiorczo-paragr'!D451</f>
        <v>opłaty za szkolenia nauczycieli- gimnazjum</v>
      </c>
      <c r="E148" s="200">
        <v>4798</v>
      </c>
      <c r="F148" s="201">
        <f>'[3]Nowa Wieś'!$G$59-F140</f>
        <v>1600</v>
      </c>
      <c r="G148" s="196">
        <f>SUM(F148/E148)</f>
        <v>0.33347228011671531</v>
      </c>
      <c r="H148" s="188"/>
      <c r="I148" s="188"/>
      <c r="J148" s="188"/>
    </row>
    <row r="149" spans="1:10" ht="18" customHeight="1">
      <c r="A149" s="190"/>
      <c r="B149" s="198"/>
      <c r="C149" s="198"/>
      <c r="D149" s="210" t="str">
        <f>'Zbiorczo-paragr'!D452</f>
        <v>opłaty za szkolenia nauczycieli- przedszkole</v>
      </c>
      <c r="E149" s="200">
        <v>2950</v>
      </c>
      <c r="F149" s="201">
        <f>'[3]Przedszkole Nowa W'!$F$53-F141</f>
        <v>591</v>
      </c>
      <c r="G149" s="196">
        <f t="shared" si="2"/>
        <v>0.20033898305084746</v>
      </c>
      <c r="H149" s="188"/>
      <c r="I149" s="188"/>
      <c r="J149" s="188"/>
    </row>
    <row r="150" spans="1:10" ht="19.5" customHeight="1">
      <c r="A150" s="535" t="s">
        <v>233</v>
      </c>
      <c r="B150" s="546"/>
      <c r="C150" s="546"/>
      <c r="D150" s="547"/>
      <c r="E150" s="215">
        <f>SUM(E138+E142+E146)</f>
        <v>36925</v>
      </c>
      <c r="F150" s="225">
        <f>SUM(F138+F142+F146)</f>
        <v>31233</v>
      </c>
      <c r="G150" s="214">
        <f t="shared" si="2"/>
        <v>0.84584969532836829</v>
      </c>
      <c r="H150" s="188"/>
      <c r="I150" s="188"/>
      <c r="J150" s="188"/>
    </row>
    <row r="151" spans="1:10" ht="19.5" customHeight="1">
      <c r="A151" s="498">
        <v>801</v>
      </c>
      <c r="B151" s="498">
        <v>80149</v>
      </c>
      <c r="C151" s="190">
        <v>3020</v>
      </c>
      <c r="D151" s="208" t="s">
        <v>359</v>
      </c>
      <c r="E151" s="194">
        <f>E152+E153</f>
        <v>1550</v>
      </c>
      <c r="F151" s="195">
        <f>F152+F153</f>
        <v>1050</v>
      </c>
      <c r="G151" s="196">
        <f t="shared" si="2"/>
        <v>0.67741935483870963</v>
      </c>
      <c r="H151" s="188"/>
      <c r="I151" s="188"/>
      <c r="J151" s="188"/>
    </row>
    <row r="152" spans="1:10" ht="19.5" customHeight="1">
      <c r="A152" s="498"/>
      <c r="B152" s="498"/>
      <c r="C152" s="190"/>
      <c r="D152" s="208" t="str">
        <f>'Zbiorczo-paragr'!D469</f>
        <v>dodatki wiejskie - oddziały przedszkolne</v>
      </c>
      <c r="E152" s="194">
        <v>0</v>
      </c>
      <c r="F152" s="195">
        <v>1050</v>
      </c>
      <c r="G152" s="196" t="e">
        <f t="shared" si="2"/>
        <v>#DIV/0!</v>
      </c>
      <c r="H152" s="223"/>
      <c r="I152" s="188"/>
      <c r="J152" s="188"/>
    </row>
    <row r="153" spans="1:10" ht="19.5" customHeight="1">
      <c r="A153" s="498"/>
      <c r="B153" s="498"/>
      <c r="C153" s="190"/>
      <c r="D153" s="208" t="str">
        <f>'Zbiorczo-paragr'!D468</f>
        <v>dodatki wiejskie - przedszkola gminne</v>
      </c>
      <c r="E153" s="194">
        <v>1550</v>
      </c>
      <c r="F153" s="195">
        <v>0</v>
      </c>
      <c r="G153" s="196">
        <f t="shared" si="2"/>
        <v>0</v>
      </c>
      <c r="H153" s="223"/>
      <c r="I153" s="188"/>
      <c r="J153" s="188"/>
    </row>
    <row r="154" spans="1:10" ht="19.5" customHeight="1">
      <c r="A154" s="498"/>
      <c r="B154" s="498"/>
      <c r="C154" s="190">
        <v>4010</v>
      </c>
      <c r="D154" s="208" t="s">
        <v>348</v>
      </c>
      <c r="E154" s="194">
        <f>E155+E156</f>
        <v>11508</v>
      </c>
      <c r="F154" s="195">
        <f>F155+F156</f>
        <v>12400</v>
      </c>
      <c r="G154" s="196">
        <f t="shared" si="2"/>
        <v>1.0775112964893987</v>
      </c>
      <c r="H154" s="188"/>
      <c r="I154" s="188"/>
      <c r="J154" s="188"/>
    </row>
    <row r="155" spans="1:10" ht="19.5" customHeight="1">
      <c r="A155" s="498"/>
      <c r="B155" s="498"/>
      <c r="C155" s="190"/>
      <c r="D155" s="208" t="str">
        <f>'Zbiorczo-paragr'!D472</f>
        <v>wynagrodzenia osobowe pracowników- oddziały przedszkolne</v>
      </c>
      <c r="E155" s="194">
        <v>0</v>
      </c>
      <c r="F155" s="195">
        <v>12400</v>
      </c>
      <c r="G155" s="196" t="e">
        <f t="shared" si="2"/>
        <v>#DIV/0!</v>
      </c>
      <c r="H155" s="188"/>
      <c r="I155" s="188"/>
      <c r="J155" s="188"/>
    </row>
    <row r="156" spans="1:10" ht="19.5" customHeight="1">
      <c r="A156" s="498"/>
      <c r="B156" s="498"/>
      <c r="C156" s="190"/>
      <c r="D156" s="208" t="str">
        <f>'Zbiorczo-paragr'!D471</f>
        <v>wynagrodzenia osobowe pracowników- przedszkola gminne</v>
      </c>
      <c r="E156" s="194">
        <v>11508</v>
      </c>
      <c r="F156" s="195">
        <v>0</v>
      </c>
      <c r="G156" s="196">
        <f t="shared" si="2"/>
        <v>0</v>
      </c>
      <c r="H156" s="188"/>
      <c r="I156" s="188"/>
      <c r="J156" s="188"/>
    </row>
    <row r="157" spans="1:10" ht="19.5" customHeight="1">
      <c r="A157" s="498"/>
      <c r="B157" s="498"/>
      <c r="C157" s="227">
        <v>4110</v>
      </c>
      <c r="D157" s="208" t="s">
        <v>446</v>
      </c>
      <c r="E157" s="194">
        <f>E158+E159</f>
        <v>2245</v>
      </c>
      <c r="F157" s="195">
        <f>F158+F159</f>
        <v>2300</v>
      </c>
      <c r="G157" s="196">
        <f t="shared" si="2"/>
        <v>1.0244988864142539</v>
      </c>
      <c r="H157" s="188"/>
      <c r="I157" s="188"/>
      <c r="J157" s="188"/>
    </row>
    <row r="158" spans="1:10" ht="19.5" customHeight="1">
      <c r="A158" s="498"/>
      <c r="B158" s="498"/>
      <c r="C158" s="227"/>
      <c r="D158" s="208" t="str">
        <f>'Zbiorczo-paragr'!D475</f>
        <v xml:space="preserve">składki na ubezpieczenia społeczne- oddziały przedszkolne                 </v>
      </c>
      <c r="E158" s="194">
        <v>0</v>
      </c>
      <c r="F158" s="195">
        <v>2300</v>
      </c>
      <c r="G158" s="196" t="e">
        <f t="shared" si="2"/>
        <v>#DIV/0!</v>
      </c>
      <c r="H158" s="188"/>
      <c r="I158" s="188"/>
      <c r="J158" s="188"/>
    </row>
    <row r="159" spans="1:10" ht="19.5" customHeight="1">
      <c r="A159" s="498"/>
      <c r="B159" s="498"/>
      <c r="C159" s="227"/>
      <c r="D159" s="208" t="str">
        <f>'Zbiorczo-paragr'!D474</f>
        <v xml:space="preserve">składki na ubezpieczenia społeczne- przedszkola gminne                     </v>
      </c>
      <c r="E159" s="194">
        <v>2245</v>
      </c>
      <c r="F159" s="195">
        <v>0</v>
      </c>
      <c r="G159" s="196">
        <f t="shared" si="2"/>
        <v>0</v>
      </c>
      <c r="H159" s="188"/>
      <c r="I159" s="188"/>
      <c r="J159" s="188"/>
    </row>
    <row r="160" spans="1:10" ht="19.5" customHeight="1">
      <c r="A160" s="498"/>
      <c r="B160" s="498"/>
      <c r="C160" s="227">
        <v>4120</v>
      </c>
      <c r="D160" s="208" t="str">
        <f>'Zbiorczo-paragr'!D476</f>
        <v xml:space="preserve">Składki na Fundusz Pracy                                </v>
      </c>
      <c r="E160" s="194">
        <f>E162+E161</f>
        <v>320</v>
      </c>
      <c r="F160" s="195">
        <f>F162+F161</f>
        <v>330</v>
      </c>
      <c r="G160" s="196">
        <f t="shared" si="2"/>
        <v>1.03125</v>
      </c>
      <c r="H160" s="188"/>
      <c r="I160" s="188"/>
      <c r="J160" s="188"/>
    </row>
    <row r="161" spans="1:10" ht="19.5" customHeight="1">
      <c r="A161" s="498"/>
      <c r="B161" s="498"/>
      <c r="C161" s="227"/>
      <c r="D161" s="208" t="str">
        <f>'Zbiorczo-paragr'!D477</f>
        <v xml:space="preserve">składki na Fundusz Pracy- oddziały przedszkolne                        </v>
      </c>
      <c r="E161" s="194">
        <v>0</v>
      </c>
      <c r="F161" s="195">
        <v>330</v>
      </c>
      <c r="G161" s="196" t="e">
        <f>SUM(F161/E161)</f>
        <v>#DIV/0!</v>
      </c>
      <c r="H161" s="188"/>
      <c r="I161" s="188"/>
      <c r="J161" s="188"/>
    </row>
    <row r="162" spans="1:10" ht="19.5" customHeight="1">
      <c r="A162" s="498"/>
      <c r="B162" s="498"/>
      <c r="C162" s="227"/>
      <c r="D162" s="208" t="str">
        <f>'Zbiorczo-paragr'!D478</f>
        <v xml:space="preserve">składki na Fundusz Pracy- przedszkolna gminne                         </v>
      </c>
      <c r="E162" s="194">
        <v>320</v>
      </c>
      <c r="F162" s="195">
        <v>0</v>
      </c>
      <c r="G162" s="196">
        <f t="shared" si="2"/>
        <v>0</v>
      </c>
      <c r="H162" s="188"/>
      <c r="I162" s="188"/>
      <c r="J162" s="188"/>
    </row>
    <row r="163" spans="1:10" ht="19.5" hidden="1" customHeight="1">
      <c r="A163" s="226"/>
      <c r="B163" s="226"/>
      <c r="C163" s="227">
        <v>4300</v>
      </c>
      <c r="D163" s="208" t="str">
        <f>'Zbiorczo-paragr'!D483</f>
        <v xml:space="preserve">Zakup usług pozostałych                                 </v>
      </c>
      <c r="E163" s="194">
        <f>E164</f>
        <v>0</v>
      </c>
      <c r="F163" s="195">
        <f>F164</f>
        <v>0</v>
      </c>
      <c r="G163" s="196" t="e">
        <f t="shared" si="2"/>
        <v>#DIV/0!</v>
      </c>
      <c r="H163" s="188"/>
      <c r="I163" s="188"/>
      <c r="J163" s="188"/>
    </row>
    <row r="164" spans="1:10" ht="19.5" hidden="1" customHeight="1">
      <c r="A164" s="226"/>
      <c r="B164" s="226"/>
      <c r="C164" s="227"/>
      <c r="D164" s="208" t="str">
        <f>'Zbiorczo-paragr'!D484</f>
        <v>usługi związane z niepełnosprawnością - przedszkola gminne</v>
      </c>
      <c r="E164" s="194">
        <v>0</v>
      </c>
      <c r="F164" s="195">
        <v>0</v>
      </c>
      <c r="G164" s="196" t="e">
        <f t="shared" si="2"/>
        <v>#DIV/0!</v>
      </c>
      <c r="H164" s="188"/>
      <c r="I164" s="188"/>
      <c r="J164" s="188"/>
    </row>
    <row r="165" spans="1:10" ht="37.5" customHeight="1">
      <c r="A165" s="554" t="s">
        <v>462</v>
      </c>
      <c r="B165" s="555"/>
      <c r="C165" s="555"/>
      <c r="D165" s="555"/>
      <c r="E165" s="228">
        <f>E151+E154+E157+E160+E163</f>
        <v>15623</v>
      </c>
      <c r="F165" s="228">
        <f>F151+F154+F157+F160+F163</f>
        <v>16080</v>
      </c>
      <c r="G165" s="214">
        <f t="shared" si="2"/>
        <v>1.0292517442232605</v>
      </c>
      <c r="H165" s="188"/>
      <c r="I165" s="188"/>
      <c r="J165" s="188"/>
    </row>
    <row r="166" spans="1:10" ht="19.5" customHeight="1">
      <c r="A166" s="495">
        <v>801</v>
      </c>
      <c r="B166" s="498">
        <v>80150</v>
      </c>
      <c r="C166" s="544">
        <v>3020</v>
      </c>
      <c r="D166" s="208" t="s">
        <v>359</v>
      </c>
      <c r="E166" s="229">
        <f>SUM(E167:E167)</f>
        <v>9224</v>
      </c>
      <c r="F166" s="229">
        <f>SUM(F167:F168)</f>
        <v>7000</v>
      </c>
      <c r="G166" s="231">
        <f t="shared" ref="G166:G193" si="3">SUM(F166/E166)</f>
        <v>0.75888985255854291</v>
      </c>
      <c r="H166" s="188"/>
      <c r="I166" s="188"/>
      <c r="J166" s="188"/>
    </row>
    <row r="167" spans="1:10" ht="19.5" customHeight="1">
      <c r="A167" s="496"/>
      <c r="B167" s="498"/>
      <c r="C167" s="552"/>
      <c r="D167" s="208" t="s">
        <v>296</v>
      </c>
      <c r="E167" s="229">
        <v>9224</v>
      </c>
      <c r="F167" s="229">
        <v>5000</v>
      </c>
      <c r="G167" s="231">
        <f t="shared" si="3"/>
        <v>0.54206418039895921</v>
      </c>
      <c r="H167" s="188"/>
      <c r="I167" s="202"/>
      <c r="J167" s="188"/>
    </row>
    <row r="168" spans="1:10" ht="19.5" customHeight="1">
      <c r="A168" s="496"/>
      <c r="B168" s="498"/>
      <c r="C168" s="545"/>
      <c r="D168" s="208" t="str">
        <f>'Zbiorczo-paragr'!D488</f>
        <v>dokształcanie nauczycieli SP</v>
      </c>
      <c r="E168" s="229">
        <v>0</v>
      </c>
      <c r="F168" s="229">
        <v>2000</v>
      </c>
      <c r="G168" s="231" t="e">
        <f t="shared" si="3"/>
        <v>#DIV/0!</v>
      </c>
      <c r="H168" s="188"/>
      <c r="I168" s="202"/>
      <c r="J168" s="188"/>
    </row>
    <row r="169" spans="1:10" ht="19.5" customHeight="1">
      <c r="A169" s="553"/>
      <c r="B169" s="548"/>
      <c r="C169" s="190">
        <v>4010</v>
      </c>
      <c r="D169" s="208" t="s">
        <v>348</v>
      </c>
      <c r="E169" s="229">
        <f>E170</f>
        <v>77858</v>
      </c>
      <c r="F169" s="229">
        <f>F170</f>
        <v>65000</v>
      </c>
      <c r="G169" s="231">
        <f t="shared" si="3"/>
        <v>0.8348531942767603</v>
      </c>
      <c r="H169" s="188"/>
      <c r="I169" s="188"/>
      <c r="J169" s="188"/>
    </row>
    <row r="170" spans="1:10" ht="19.5" customHeight="1">
      <c r="A170" s="553"/>
      <c r="B170" s="548"/>
      <c r="C170" s="190"/>
      <c r="D170" s="208" t="s">
        <v>297</v>
      </c>
      <c r="E170" s="229">
        <v>77858</v>
      </c>
      <c r="F170" s="229">
        <v>65000</v>
      </c>
      <c r="G170" s="231">
        <f t="shared" si="3"/>
        <v>0.8348531942767603</v>
      </c>
      <c r="H170" s="188"/>
      <c r="I170" s="188"/>
      <c r="J170" s="188"/>
    </row>
    <row r="171" spans="1:10" ht="19.5" customHeight="1">
      <c r="A171" s="553"/>
      <c r="B171" s="548"/>
      <c r="C171" s="227">
        <v>4110</v>
      </c>
      <c r="D171" s="208" t="s">
        <v>446</v>
      </c>
      <c r="E171" s="229">
        <f>E172</f>
        <v>15266</v>
      </c>
      <c r="F171" s="229">
        <f>F172</f>
        <v>12000</v>
      </c>
      <c r="G171" s="231">
        <f t="shared" si="3"/>
        <v>0.78606052666055282</v>
      </c>
      <c r="H171" s="188"/>
      <c r="I171" s="188"/>
      <c r="J171" s="188"/>
    </row>
    <row r="172" spans="1:10" ht="19.5" customHeight="1">
      <c r="A172" s="553"/>
      <c r="B172" s="548"/>
      <c r="C172" s="227"/>
      <c r="D172" s="208" t="s">
        <v>298</v>
      </c>
      <c r="E172" s="229">
        <v>15266</v>
      </c>
      <c r="F172" s="229">
        <v>12000</v>
      </c>
      <c r="G172" s="231">
        <f t="shared" si="3"/>
        <v>0.78606052666055282</v>
      </c>
      <c r="H172" s="188"/>
      <c r="I172" s="188"/>
      <c r="J172" s="188"/>
    </row>
    <row r="173" spans="1:10" ht="19.5" customHeight="1">
      <c r="A173" s="553"/>
      <c r="B173" s="548"/>
      <c r="C173" s="227">
        <v>4120</v>
      </c>
      <c r="D173" s="208" t="s">
        <v>301</v>
      </c>
      <c r="E173" s="229">
        <f>E174</f>
        <v>2320</v>
      </c>
      <c r="F173" s="229">
        <f>F174</f>
        <v>1700</v>
      </c>
      <c r="G173" s="231">
        <f t="shared" si="3"/>
        <v>0.73275862068965514</v>
      </c>
      <c r="H173" s="188"/>
      <c r="I173" s="188"/>
      <c r="J173" s="188"/>
    </row>
    <row r="174" spans="1:10" ht="19.5" customHeight="1">
      <c r="A174" s="553"/>
      <c r="B174" s="548"/>
      <c r="C174" s="227"/>
      <c r="D174" s="208" t="s">
        <v>299</v>
      </c>
      <c r="E174" s="229">
        <v>2320</v>
      </c>
      <c r="F174" s="229">
        <v>1700</v>
      </c>
      <c r="G174" s="231">
        <f t="shared" si="3"/>
        <v>0.73275862068965514</v>
      </c>
      <c r="H174" s="188"/>
      <c r="I174" s="188"/>
      <c r="J174" s="188"/>
    </row>
    <row r="175" spans="1:10" ht="19.5" hidden="1" customHeight="1">
      <c r="A175" s="553"/>
      <c r="B175" s="548"/>
      <c r="C175" s="227">
        <v>4210</v>
      </c>
      <c r="D175" s="208" t="s">
        <v>274</v>
      </c>
      <c r="E175" s="229">
        <f>SUM(E176:E176)</f>
        <v>0</v>
      </c>
      <c r="F175" s="230">
        <f>SUM(F176:F176)</f>
        <v>0</v>
      </c>
      <c r="G175" s="231" t="e">
        <f t="shared" si="3"/>
        <v>#DIV/0!</v>
      </c>
      <c r="H175" s="188"/>
      <c r="I175" s="188"/>
      <c r="J175" s="188"/>
    </row>
    <row r="176" spans="1:10" ht="19.5" hidden="1" customHeight="1">
      <c r="A176" s="553"/>
      <c r="B176" s="548"/>
      <c r="C176" s="190"/>
      <c r="D176" s="208" t="s">
        <v>469</v>
      </c>
      <c r="E176" s="229"/>
      <c r="F176" s="230"/>
      <c r="G176" s="231" t="e">
        <f t="shared" si="3"/>
        <v>#DIV/0!</v>
      </c>
      <c r="H176" s="188"/>
      <c r="I176" s="188"/>
      <c r="J176" s="188"/>
    </row>
    <row r="177" spans="1:10" ht="19.5" customHeight="1">
      <c r="A177" s="553"/>
      <c r="B177" s="548"/>
      <c r="C177" s="227">
        <v>4240</v>
      </c>
      <c r="D177" s="208" t="s">
        <v>179</v>
      </c>
      <c r="E177" s="229">
        <f>SUM(E178:E180)</f>
        <v>5600</v>
      </c>
      <c r="F177" s="229">
        <f>SUM(F178:F180)</f>
        <v>5000</v>
      </c>
      <c r="G177" s="231">
        <f t="shared" si="3"/>
        <v>0.8928571428571429</v>
      </c>
      <c r="H177" s="188"/>
      <c r="I177" s="188"/>
      <c r="J177" s="188"/>
    </row>
    <row r="178" spans="1:10" ht="30" customHeight="1">
      <c r="A178" s="553"/>
      <c r="B178" s="548"/>
      <c r="C178" s="227"/>
      <c r="D178" s="232" t="s">
        <v>636</v>
      </c>
      <c r="E178" s="229">
        <v>5600</v>
      </c>
      <c r="F178" s="230">
        <v>5000</v>
      </c>
      <c r="G178" s="231">
        <f t="shared" si="3"/>
        <v>0.8928571428571429</v>
      </c>
      <c r="H178" s="188"/>
      <c r="I178" s="188"/>
      <c r="J178" s="188"/>
    </row>
    <row r="179" spans="1:10" ht="19.5" hidden="1" customHeight="1">
      <c r="A179" s="553"/>
      <c r="B179" s="548"/>
      <c r="C179" s="227"/>
      <c r="D179" s="232" t="s">
        <v>610</v>
      </c>
      <c r="E179" s="229">
        <v>0</v>
      </c>
      <c r="F179" s="230">
        <v>0</v>
      </c>
      <c r="G179" s="231" t="e">
        <f t="shared" si="3"/>
        <v>#DIV/0!</v>
      </c>
      <c r="H179" s="188"/>
      <c r="I179" s="188"/>
      <c r="J179" s="188"/>
    </row>
    <row r="180" spans="1:10" ht="19.5" hidden="1" customHeight="1">
      <c r="A180" s="553"/>
      <c r="B180" s="548"/>
      <c r="C180" s="227"/>
      <c r="D180" s="232" t="s">
        <v>611</v>
      </c>
      <c r="E180" s="229">
        <v>0</v>
      </c>
      <c r="F180" s="230"/>
      <c r="G180" s="231" t="e">
        <f t="shared" si="3"/>
        <v>#DIV/0!</v>
      </c>
      <c r="H180" s="188"/>
      <c r="I180" s="188"/>
      <c r="J180" s="188"/>
    </row>
    <row r="181" spans="1:10" ht="19.5" customHeight="1">
      <c r="A181" s="553"/>
      <c r="B181" s="548"/>
      <c r="C181" s="227">
        <v>4270</v>
      </c>
      <c r="D181" s="208" t="s">
        <v>238</v>
      </c>
      <c r="E181" s="229">
        <f>E182</f>
        <v>2400</v>
      </c>
      <c r="F181" s="230">
        <f>F182</f>
        <v>3000</v>
      </c>
      <c r="G181" s="231">
        <f t="shared" si="3"/>
        <v>1.25</v>
      </c>
      <c r="H181" s="188"/>
      <c r="I181" s="188"/>
      <c r="J181" s="188"/>
    </row>
    <row r="182" spans="1:10" ht="19.5" customHeight="1">
      <c r="A182" s="553"/>
      <c r="B182" s="548"/>
      <c r="C182" s="227"/>
      <c r="D182" s="208" t="s">
        <v>292</v>
      </c>
      <c r="E182" s="229">
        <v>2400</v>
      </c>
      <c r="F182" s="230">
        <v>3000</v>
      </c>
      <c r="G182" s="231">
        <f t="shared" si="3"/>
        <v>1.25</v>
      </c>
      <c r="H182" s="188"/>
      <c r="I182" s="188"/>
      <c r="J182" s="188"/>
    </row>
    <row r="183" spans="1:10" ht="19.5" hidden="1" customHeight="1">
      <c r="A183" s="553"/>
      <c r="B183" s="548"/>
      <c r="C183" s="227">
        <v>4300</v>
      </c>
      <c r="D183" s="208" t="s">
        <v>100</v>
      </c>
      <c r="E183" s="229">
        <f>E184+E185</f>
        <v>0</v>
      </c>
      <c r="F183" s="230">
        <f>F184+F185</f>
        <v>0</v>
      </c>
      <c r="G183" s="231" t="e">
        <f>SUM(F183/E183)</f>
        <v>#DIV/0!</v>
      </c>
      <c r="H183" s="188"/>
      <c r="I183" s="188"/>
      <c r="J183" s="188"/>
    </row>
    <row r="184" spans="1:10" ht="19.5" hidden="1" customHeight="1">
      <c r="A184" s="553"/>
      <c r="B184" s="548"/>
      <c r="C184" s="227"/>
      <c r="D184" s="208" t="s">
        <v>294</v>
      </c>
      <c r="E184" s="229">
        <v>0</v>
      </c>
      <c r="F184" s="230">
        <v>0</v>
      </c>
      <c r="G184" s="231" t="e">
        <f>SUM(F184/E184)</f>
        <v>#DIV/0!</v>
      </c>
      <c r="H184" s="188"/>
      <c r="I184" s="188"/>
      <c r="J184" s="188"/>
    </row>
    <row r="185" spans="1:10" ht="19.5" hidden="1" customHeight="1">
      <c r="A185" s="553"/>
      <c r="B185" s="548"/>
      <c r="C185" s="227"/>
      <c r="D185" s="208" t="s">
        <v>295</v>
      </c>
      <c r="E185" s="229">
        <v>0</v>
      </c>
      <c r="F185" s="230">
        <v>0</v>
      </c>
      <c r="G185" s="231" t="e">
        <f>SUM(F185/E185)</f>
        <v>#DIV/0!</v>
      </c>
      <c r="H185" s="188"/>
      <c r="I185" s="188"/>
      <c r="J185" s="188"/>
    </row>
    <row r="186" spans="1:10" ht="19.5" customHeight="1">
      <c r="A186" s="553"/>
      <c r="B186" s="548"/>
      <c r="C186" s="198">
        <v>4700</v>
      </c>
      <c r="D186" s="198" t="str">
        <f>'Zbiorczo-paragr'!D504</f>
        <v>Szkolenie pracowników niebędących członkami korpusu służby cywilnej</v>
      </c>
      <c r="E186" s="229">
        <f>E187</f>
        <v>500</v>
      </c>
      <c r="F186" s="229">
        <f>F187</f>
        <v>0</v>
      </c>
      <c r="G186" s="231">
        <f t="shared" si="3"/>
        <v>0</v>
      </c>
      <c r="H186" s="188"/>
      <c r="I186" s="188"/>
      <c r="J186" s="188"/>
    </row>
    <row r="187" spans="1:10" ht="19.5" customHeight="1">
      <c r="A187" s="553"/>
      <c r="B187" s="548"/>
      <c r="C187" s="227"/>
      <c r="D187" s="21" t="s">
        <v>714</v>
      </c>
      <c r="E187" s="229">
        <v>500</v>
      </c>
      <c r="F187" s="230">
        <v>0</v>
      </c>
      <c r="G187" s="231">
        <f t="shared" si="3"/>
        <v>0</v>
      </c>
      <c r="H187" s="188"/>
      <c r="I187" s="188"/>
      <c r="J187" s="188"/>
    </row>
    <row r="188" spans="1:10" ht="24" customHeight="1">
      <c r="A188" s="501" t="s">
        <v>663</v>
      </c>
      <c r="B188" s="502"/>
      <c r="C188" s="503"/>
      <c r="D188" s="504"/>
      <c r="E188" s="233">
        <f>SUM(E166+E169+E171+E173+E175+E177+E181+E186+E183)</f>
        <v>113168</v>
      </c>
      <c r="F188" s="233">
        <f>SUM(F166+F169+F171+F173+F175+F177+F181+F186+F183)</f>
        <v>93700</v>
      </c>
      <c r="G188" s="234">
        <f t="shared" si="3"/>
        <v>0.82797257175173189</v>
      </c>
      <c r="H188" s="223">
        <f>F188+F165</f>
        <v>109780</v>
      </c>
      <c r="I188" s="188"/>
      <c r="J188" s="188"/>
    </row>
    <row r="189" spans="1:10" ht="19.5" customHeight="1">
      <c r="A189" s="495">
        <v>801</v>
      </c>
      <c r="B189" s="495">
        <v>80153</v>
      </c>
      <c r="C189" s="495">
        <v>4240</v>
      </c>
      <c r="D189" s="35" t="str">
        <f>'Zbiorczo-paragr'!D526</f>
        <v xml:space="preserve">Zakup pomocy naukowych, dydaktycznych i książek         </v>
      </c>
      <c r="E189" s="82">
        <f>SUM(E190:E192)</f>
        <v>63447.9</v>
      </c>
      <c r="F189" s="82">
        <f>SUM(F190:F192)</f>
        <v>0</v>
      </c>
      <c r="G189" s="23">
        <f t="shared" si="3"/>
        <v>0</v>
      </c>
      <c r="H189" s="223"/>
      <c r="I189" s="188"/>
      <c r="J189" s="188"/>
    </row>
    <row r="190" spans="1:10" ht="19.5" customHeight="1">
      <c r="A190" s="496"/>
      <c r="B190" s="496"/>
      <c r="C190" s="496"/>
      <c r="D190" s="35" t="s">
        <v>707</v>
      </c>
      <c r="E190" s="82">
        <v>62092.800000000003</v>
      </c>
      <c r="F190" s="82"/>
      <c r="G190" s="23">
        <f t="shared" si="3"/>
        <v>0</v>
      </c>
      <c r="H190" s="223"/>
      <c r="I190" s="188"/>
      <c r="J190" s="188"/>
    </row>
    <row r="191" spans="1:10" ht="18.75" customHeight="1">
      <c r="A191" s="496"/>
      <c r="B191" s="496"/>
      <c r="C191" s="496"/>
      <c r="D191" s="35" t="s">
        <v>708</v>
      </c>
      <c r="E191" s="82">
        <v>1113.75</v>
      </c>
      <c r="F191" s="82"/>
      <c r="G191" s="23">
        <f t="shared" si="3"/>
        <v>0</v>
      </c>
      <c r="H191" s="223"/>
      <c r="I191" s="188"/>
      <c r="J191" s="188"/>
    </row>
    <row r="192" spans="1:10" ht="20.25" customHeight="1">
      <c r="A192" s="528"/>
      <c r="B192" s="528"/>
      <c r="C192" s="528"/>
      <c r="D192" s="35" t="s">
        <v>709</v>
      </c>
      <c r="E192" s="82">
        <v>241.35</v>
      </c>
      <c r="F192" s="82"/>
      <c r="G192" s="23">
        <f t="shared" si="3"/>
        <v>0</v>
      </c>
      <c r="H192" s="223"/>
      <c r="I192" s="188"/>
      <c r="J192" s="188"/>
    </row>
    <row r="193" spans="1:10" ht="31.5" customHeight="1">
      <c r="A193" s="512" t="str">
        <f>'Zbiorczo-paragr'!A536:D536</f>
        <v>80153 Zapewnienie uczniom prawa do bezpłatnego dostępu do podręcznikó, materiałów edukacyjnych lub materiałów ćwiczeniowych : Razem</v>
      </c>
      <c r="B193" s="513"/>
      <c r="C193" s="513"/>
      <c r="D193" s="514"/>
      <c r="E193" s="84">
        <f>E189</f>
        <v>63447.9</v>
      </c>
      <c r="F193" s="84">
        <f>F189</f>
        <v>0</v>
      </c>
      <c r="G193" s="26">
        <f t="shared" si="3"/>
        <v>0</v>
      </c>
      <c r="H193" s="223"/>
      <c r="I193" s="188"/>
      <c r="J193" s="188"/>
    </row>
    <row r="194" spans="1:10" ht="21" customHeight="1">
      <c r="A194" s="535" t="str">
        <f>'Zbiorczo-paragr'!A549:D549</f>
        <v xml:space="preserve">801 Oświata i wychowanie - Razem                                    </v>
      </c>
      <c r="B194" s="546"/>
      <c r="C194" s="546"/>
      <c r="D194" s="547"/>
      <c r="E194" s="235">
        <f>SUM(E45+E63+E101+E137+E150+E165+E188+E193)</f>
        <v>7182784.9000000004</v>
      </c>
      <c r="F194" s="235">
        <f>SUM(F45+F63+F101+F137+F150+F165+F188+F193)</f>
        <v>7965892</v>
      </c>
      <c r="G194" s="214">
        <f t="shared" si="2"/>
        <v>1.1090255535843765</v>
      </c>
      <c r="H194" s="188"/>
      <c r="I194" s="188"/>
      <c r="J194" s="188"/>
    </row>
    <row r="195" spans="1:10" ht="17.25" customHeight="1">
      <c r="A195" s="190">
        <f>'Zbiorczo-paragr'!A554</f>
        <v>854</v>
      </c>
      <c r="B195" s="190">
        <f>'Zbiorczo-paragr'!B554</f>
        <v>85401</v>
      </c>
      <c r="C195" s="190">
        <f>'Zbiorczo-paragr'!C554</f>
        <v>3020</v>
      </c>
      <c r="D195" s="193" t="str">
        <f>'Zbiorczo-paragr'!D554</f>
        <v xml:space="preserve">Nagrody i wydatki osobowe niezaliczone do wynagrodzeń  </v>
      </c>
      <c r="E195" s="194">
        <f>SUM(E196:E197)</f>
        <v>45960</v>
      </c>
      <c r="F195" s="194">
        <f>SUM(F196:F197)</f>
        <v>25000</v>
      </c>
      <c r="G195" s="196">
        <f t="shared" si="2"/>
        <v>0.54395126196692778</v>
      </c>
      <c r="H195" s="188"/>
      <c r="I195" s="188"/>
      <c r="J195" s="188"/>
    </row>
    <row r="196" spans="1:10" ht="18.600000000000001" customHeight="1">
      <c r="A196" s="190"/>
      <c r="B196" s="198"/>
      <c r="C196" s="198"/>
      <c r="D196" s="29" t="s">
        <v>778</v>
      </c>
      <c r="E196" s="200">
        <v>45960</v>
      </c>
      <c r="F196" s="201">
        <v>25000</v>
      </c>
      <c r="G196" s="196">
        <f t="shared" si="2"/>
        <v>0.54395126196692778</v>
      </c>
      <c r="H196" s="188"/>
      <c r="I196" s="188"/>
      <c r="J196" s="188"/>
    </row>
    <row r="197" spans="1:10" ht="18.600000000000001" hidden="1" customHeight="1">
      <c r="A197" s="190"/>
      <c r="B197" s="198"/>
      <c r="C197" s="198"/>
      <c r="D197" s="199">
        <v>0</v>
      </c>
      <c r="E197" s="200">
        <v>0</v>
      </c>
      <c r="F197" s="201"/>
      <c r="G197" s="196" t="e">
        <f t="shared" si="2"/>
        <v>#DIV/0!</v>
      </c>
      <c r="H197" s="188"/>
      <c r="I197" s="188"/>
      <c r="J197" s="188"/>
    </row>
    <row r="198" spans="1:10" ht="15.75" customHeight="1">
      <c r="A198" s="190"/>
      <c r="B198" s="198"/>
      <c r="C198" s="198">
        <f>'Zbiorczo-paragr'!C558</f>
        <v>4010</v>
      </c>
      <c r="D198" s="198" t="str">
        <f>'Zbiorczo-paragr'!D558</f>
        <v xml:space="preserve">Wynagrodzenia osobowe pracowników                       </v>
      </c>
      <c r="E198" s="194">
        <f>SUM(E199)</f>
        <v>332330</v>
      </c>
      <c r="F198" s="195">
        <f>SUM(F199)</f>
        <v>320000</v>
      </c>
      <c r="G198" s="196">
        <f t="shared" si="2"/>
        <v>0.96289832395510488</v>
      </c>
      <c r="H198" s="188"/>
      <c r="I198" s="188"/>
      <c r="J198" s="188"/>
    </row>
    <row r="199" spans="1:10" ht="18.600000000000001" customHeight="1">
      <c r="A199" s="190"/>
      <c r="B199" s="198"/>
      <c r="C199" s="198"/>
      <c r="D199" s="203" t="s">
        <v>194</v>
      </c>
      <c r="E199" s="200">
        <v>332330</v>
      </c>
      <c r="F199" s="201">
        <v>320000</v>
      </c>
      <c r="G199" s="196">
        <f t="shared" si="2"/>
        <v>0.96289832395510488</v>
      </c>
      <c r="H199" s="188"/>
      <c r="I199" s="188"/>
      <c r="J199" s="188"/>
    </row>
    <row r="200" spans="1:10" ht="32.450000000000003" customHeight="1">
      <c r="A200" s="190"/>
      <c r="B200" s="198"/>
      <c r="C200" s="198">
        <f>'Zbiorczo-paragr'!C564</f>
        <v>4040</v>
      </c>
      <c r="D200" s="198" t="s">
        <v>227</v>
      </c>
      <c r="E200" s="200">
        <v>23000</v>
      </c>
      <c r="F200" s="201">
        <v>27500</v>
      </c>
      <c r="G200" s="196">
        <f t="shared" si="2"/>
        <v>1.1956521739130435</v>
      </c>
      <c r="H200" s="188"/>
      <c r="I200" s="188"/>
      <c r="J200" s="188"/>
    </row>
    <row r="201" spans="1:10" ht="17.25" customHeight="1">
      <c r="A201" s="190"/>
      <c r="B201" s="198"/>
      <c r="C201" s="198">
        <f>'Zbiorczo-paragr'!C568</f>
        <v>4110</v>
      </c>
      <c r="D201" s="198" t="str">
        <f>'Zbiorczo-paragr'!D568</f>
        <v xml:space="preserve">Składki na ubezpieczenia społeczne                      </v>
      </c>
      <c r="E201" s="204">
        <v>71010</v>
      </c>
      <c r="F201" s="205">
        <v>66000</v>
      </c>
      <c r="G201" s="196">
        <f t="shared" si="2"/>
        <v>0.92944655682298272</v>
      </c>
      <c r="H201" s="188"/>
      <c r="I201" s="188"/>
      <c r="J201" s="188"/>
    </row>
    <row r="202" spans="1:10" ht="18" customHeight="1">
      <c r="A202" s="190"/>
      <c r="B202" s="198"/>
      <c r="C202" s="198">
        <f>'Zbiorczo-paragr'!C572</f>
        <v>4120</v>
      </c>
      <c r="D202" s="198" t="str">
        <f>'Zbiorczo-paragr'!D572</f>
        <v xml:space="preserve">Składki na Fundusz Pracy                                </v>
      </c>
      <c r="E202" s="204">
        <v>9325</v>
      </c>
      <c r="F202" s="205">
        <v>8500</v>
      </c>
      <c r="G202" s="196">
        <f t="shared" si="2"/>
        <v>0.91152815013404831</v>
      </c>
      <c r="H202" s="188"/>
      <c r="I202" s="188"/>
      <c r="J202" s="188"/>
    </row>
    <row r="203" spans="1:10" ht="18" customHeight="1">
      <c r="A203" s="190"/>
      <c r="B203" s="198"/>
      <c r="C203" s="198">
        <f>'Zbiorczo-paragr'!C576</f>
        <v>4210</v>
      </c>
      <c r="D203" s="198" t="str">
        <f>'Zbiorczo-paragr'!D576</f>
        <v xml:space="preserve">Zakup materiałów i wyposażenia                          </v>
      </c>
      <c r="E203" s="206">
        <f>SUM(E204)</f>
        <v>0</v>
      </c>
      <c r="F203" s="207">
        <f>SUM(F204)</f>
        <v>5000</v>
      </c>
      <c r="G203" s="196" t="e">
        <f t="shared" si="2"/>
        <v>#DIV/0!</v>
      </c>
      <c r="H203" s="188"/>
      <c r="I203" s="188"/>
      <c r="J203" s="188"/>
    </row>
    <row r="204" spans="1:10" ht="32.25" customHeight="1">
      <c r="A204" s="190"/>
      <c r="B204" s="198"/>
      <c r="C204" s="198"/>
      <c r="D204" s="208" t="s">
        <v>137</v>
      </c>
      <c r="E204" s="204">
        <v>0</v>
      </c>
      <c r="F204" s="205">
        <v>5000</v>
      </c>
      <c r="G204" s="196" t="e">
        <f t="shared" si="2"/>
        <v>#DIV/0!</v>
      </c>
      <c r="H204" s="188"/>
      <c r="I204" s="188"/>
      <c r="J204" s="188"/>
    </row>
    <row r="205" spans="1:10" ht="18" customHeight="1">
      <c r="A205" s="190"/>
      <c r="B205" s="198"/>
      <c r="C205" s="198">
        <f>'Zbiorczo-paragr'!C582</f>
        <v>4240</v>
      </c>
      <c r="D205" s="199" t="str">
        <f>'Zbiorczo-paragr'!D582</f>
        <v xml:space="preserve">Zakup pomocy naukowych, dydaktycznych i książek         </v>
      </c>
      <c r="E205" s="204">
        <v>0</v>
      </c>
      <c r="F205" s="205">
        <v>10000</v>
      </c>
      <c r="G205" s="196" t="e">
        <f t="shared" ref="G205:G228" si="4">SUM(F205/E205)</f>
        <v>#DIV/0!</v>
      </c>
      <c r="H205" s="188"/>
      <c r="I205" s="188"/>
      <c r="J205" s="188"/>
    </row>
    <row r="206" spans="1:10" ht="18" hidden="1" customHeight="1">
      <c r="A206" s="190"/>
      <c r="B206" s="198"/>
      <c r="C206" s="198">
        <f>'Zbiorczo-paragr'!C586</f>
        <v>4300</v>
      </c>
      <c r="D206" s="198" t="str">
        <f>'Zbiorczo-paragr'!D586</f>
        <v xml:space="preserve">Zakup usług pozostałych                                 </v>
      </c>
      <c r="E206" s="204">
        <f>E207</f>
        <v>0</v>
      </c>
      <c r="F206" s="205">
        <f>F207</f>
        <v>0</v>
      </c>
      <c r="G206" s="196" t="e">
        <f t="shared" si="4"/>
        <v>#DIV/0!</v>
      </c>
      <c r="H206" s="188"/>
      <c r="I206" s="188"/>
      <c r="J206" s="188"/>
    </row>
    <row r="207" spans="1:10" ht="17.25" hidden="1" customHeight="1">
      <c r="A207" s="190"/>
      <c r="B207" s="198"/>
      <c r="C207" s="198"/>
      <c r="D207" s="199" t="s">
        <v>215</v>
      </c>
      <c r="E207" s="204">
        <v>0</v>
      </c>
      <c r="F207" s="205">
        <v>0</v>
      </c>
      <c r="G207" s="196" t="e">
        <f t="shared" si="4"/>
        <v>#DIV/0!</v>
      </c>
      <c r="H207" s="188"/>
      <c r="I207" s="188"/>
      <c r="J207" s="188"/>
    </row>
    <row r="208" spans="1:10" ht="46.5" customHeight="1">
      <c r="A208" s="190"/>
      <c r="B208" s="198"/>
      <c r="C208" s="198">
        <f>'Zbiorczo-paragr'!C590</f>
        <v>4440</v>
      </c>
      <c r="D208" s="198" t="s">
        <v>16</v>
      </c>
      <c r="E208" s="204">
        <v>21110</v>
      </c>
      <c r="F208" s="205">
        <v>22806</v>
      </c>
      <c r="G208" s="196">
        <f t="shared" si="4"/>
        <v>1.0803410705826622</v>
      </c>
      <c r="I208" s="188"/>
      <c r="J208" s="188"/>
    </row>
    <row r="209" spans="1:10" s="239" customFormat="1" ht="19.5" customHeight="1">
      <c r="A209" s="535" t="s">
        <v>47</v>
      </c>
      <c r="B209" s="546"/>
      <c r="C209" s="546"/>
      <c r="D209" s="547"/>
      <c r="E209" s="236">
        <f>SUM(E195+E198+E200+E201+E202+E203+E205+E206+E208)</f>
        <v>502735</v>
      </c>
      <c r="F209" s="237">
        <f>SUM(F195+F198+F200+F201+F202+F203+F205+F206+F208)</f>
        <v>484806</v>
      </c>
      <c r="G209" s="214">
        <f t="shared" si="4"/>
        <v>0.96433707619322306</v>
      </c>
      <c r="H209" s="238"/>
      <c r="I209" s="238"/>
      <c r="J209" s="238"/>
    </row>
    <row r="210" spans="1:10" ht="17.25" hidden="1" customHeight="1">
      <c r="A210" s="198">
        <v>854</v>
      </c>
      <c r="B210" s="198">
        <v>85412</v>
      </c>
      <c r="C210" s="198">
        <v>4210</v>
      </c>
      <c r="D210" s="198" t="str">
        <f>'Zbiorczo-paragr'!D614</f>
        <v xml:space="preserve">Zakup materiałów i wyposażenia                          </v>
      </c>
      <c r="E210" s="206">
        <f>E211</f>
        <v>0</v>
      </c>
      <c r="F210" s="207">
        <f>F211</f>
        <v>0</v>
      </c>
      <c r="G210" s="196" t="e">
        <f t="shared" si="4"/>
        <v>#DIV/0!</v>
      </c>
      <c r="H210" s="188"/>
      <c r="I210" s="188"/>
      <c r="J210" s="188"/>
    </row>
    <row r="211" spans="1:10" ht="15" hidden="1" customHeight="1">
      <c r="A211" s="211"/>
      <c r="B211" s="240"/>
      <c r="C211" s="198"/>
      <c r="D211" s="198" t="s">
        <v>155</v>
      </c>
      <c r="E211" s="206">
        <v>0</v>
      </c>
      <c r="F211" s="207"/>
      <c r="G211" s="196" t="e">
        <f t="shared" si="4"/>
        <v>#DIV/0!</v>
      </c>
      <c r="H211" s="188"/>
      <c r="I211" s="188"/>
      <c r="J211" s="188"/>
    </row>
    <row r="212" spans="1:10" ht="15.75" hidden="1" customHeight="1">
      <c r="A212" s="211"/>
      <c r="B212" s="240"/>
      <c r="C212" s="198">
        <v>4300</v>
      </c>
      <c r="D212" s="198" t="str">
        <f>'Zbiorczo-paragr'!D618</f>
        <v xml:space="preserve">Zakup usług pozostałych                                 </v>
      </c>
      <c r="E212" s="206">
        <f>E213</f>
        <v>0</v>
      </c>
      <c r="F212" s="207">
        <f>F213</f>
        <v>0</v>
      </c>
      <c r="G212" s="196" t="e">
        <f t="shared" si="4"/>
        <v>#DIV/0!</v>
      </c>
      <c r="H212" s="188"/>
      <c r="I212" s="188"/>
      <c r="J212" s="188"/>
    </row>
    <row r="213" spans="1:10" ht="16.5" hidden="1" customHeight="1">
      <c r="A213" s="211"/>
      <c r="B213" s="240"/>
      <c r="C213" s="198"/>
      <c r="D213" s="198" t="s">
        <v>156</v>
      </c>
      <c r="E213" s="206">
        <v>0</v>
      </c>
      <c r="F213" s="207"/>
      <c r="G213" s="196" t="e">
        <f t="shared" si="4"/>
        <v>#DIV/0!</v>
      </c>
      <c r="H213" s="188"/>
      <c r="I213" s="188"/>
      <c r="J213" s="188"/>
    </row>
    <row r="214" spans="1:10" ht="15" hidden="1" customHeight="1">
      <c r="A214" s="211"/>
      <c r="B214" s="240"/>
      <c r="C214" s="198">
        <v>4420</v>
      </c>
      <c r="D214" s="198" t="str">
        <f>'Zbiorczo-paragr'!D622</f>
        <v xml:space="preserve">Podróże służbowe zagraniczne                                </v>
      </c>
      <c r="E214" s="206">
        <f>E215</f>
        <v>0</v>
      </c>
      <c r="F214" s="207">
        <f>F215</f>
        <v>0</v>
      </c>
      <c r="G214" s="196" t="e">
        <f t="shared" si="4"/>
        <v>#DIV/0!</v>
      </c>
      <c r="H214" s="188"/>
      <c r="I214" s="188"/>
      <c r="J214" s="188"/>
    </row>
    <row r="215" spans="1:10" ht="17.25" hidden="1" customHeight="1">
      <c r="A215" s="211"/>
      <c r="B215" s="240"/>
      <c r="C215" s="198"/>
      <c r="D215" s="198" t="s">
        <v>154</v>
      </c>
      <c r="E215" s="206">
        <v>0</v>
      </c>
      <c r="F215" s="207"/>
      <c r="G215" s="196" t="e">
        <f t="shared" si="4"/>
        <v>#DIV/0!</v>
      </c>
      <c r="H215" s="188"/>
      <c r="I215" s="188"/>
      <c r="J215" s="188"/>
    </row>
    <row r="216" spans="1:10" ht="29.25" hidden="1" customHeight="1">
      <c r="A216" s="535" t="str">
        <f>'Zbiorczo-paragr'!A626:D626</f>
        <v>85412 Kolonie i obozy oraz inne formy wypoczynku dzieci i młodzieży szkolnej, a także szkolenia młodzieży: Razem</v>
      </c>
      <c r="B216" s="536"/>
      <c r="C216" s="536"/>
      <c r="D216" s="537"/>
      <c r="E216" s="236">
        <f>SUM(E210+E212+E214)</f>
        <v>0</v>
      </c>
      <c r="F216" s="237">
        <f>SUM(F210+F212+F214)</f>
        <v>0</v>
      </c>
      <c r="G216" s="196" t="e">
        <f t="shared" si="4"/>
        <v>#DIV/0!</v>
      </c>
      <c r="H216" s="188"/>
      <c r="I216" s="188"/>
      <c r="J216" s="188"/>
    </row>
    <row r="217" spans="1:10" ht="18.75" hidden="1" customHeight="1">
      <c r="A217" s="543">
        <v>854</v>
      </c>
      <c r="B217" s="543">
        <v>85415</v>
      </c>
      <c r="C217" s="544">
        <v>3260</v>
      </c>
      <c r="D217" s="199" t="s">
        <v>432</v>
      </c>
      <c r="E217" s="206">
        <f>E218</f>
        <v>0</v>
      </c>
      <c r="F217" s="206">
        <f>F218</f>
        <v>0</v>
      </c>
      <c r="G217" s="196" t="e">
        <f t="shared" si="4"/>
        <v>#DIV/0!</v>
      </c>
      <c r="H217" s="188"/>
      <c r="I217" s="188"/>
      <c r="J217" s="188"/>
    </row>
    <row r="218" spans="1:10" ht="18.75" hidden="1" customHeight="1">
      <c r="A218" s="543"/>
      <c r="B218" s="543"/>
      <c r="C218" s="545"/>
      <c r="D218" s="193" t="s">
        <v>504</v>
      </c>
      <c r="E218" s="206">
        <v>0</v>
      </c>
      <c r="F218" s="207">
        <v>0</v>
      </c>
      <c r="G218" s="196" t="e">
        <f t="shared" si="4"/>
        <v>#DIV/0!</v>
      </c>
      <c r="H218" s="188"/>
      <c r="I218" s="188"/>
      <c r="J218" s="188"/>
    </row>
    <row r="219" spans="1:10" ht="27" hidden="1" customHeight="1">
      <c r="A219" s="549" t="str">
        <f>'Zbiorczo-paragr'!A636:D636</f>
        <v>85415 Pomoc materialna dla uczniów o charakterze socjalnym : Razem</v>
      </c>
      <c r="B219" s="550"/>
      <c r="C219" s="550"/>
      <c r="D219" s="551"/>
      <c r="E219" s="236">
        <f>E217</f>
        <v>0</v>
      </c>
      <c r="F219" s="236">
        <f>F217</f>
        <v>0</v>
      </c>
      <c r="G219" s="214" t="e">
        <f t="shared" si="4"/>
        <v>#DIV/0!</v>
      </c>
      <c r="H219" s="188"/>
      <c r="I219" s="188"/>
      <c r="J219" s="188"/>
    </row>
    <row r="220" spans="1:10" ht="18" customHeight="1">
      <c r="A220" s="543">
        <v>854</v>
      </c>
      <c r="B220" s="543">
        <v>85416</v>
      </c>
      <c r="C220" s="543">
        <v>3040</v>
      </c>
      <c r="D220" s="241" t="str">
        <f>'Zbiorczo-paragr'!D637</f>
        <v>Nagrody o charakterze szczególnym niezaliczone do wynagrodzeń</v>
      </c>
      <c r="E220" s="206">
        <f>E221+E222</f>
        <v>6000</v>
      </c>
      <c r="F220" s="206">
        <f>F221+F222</f>
        <v>12000</v>
      </c>
      <c r="G220" s="214">
        <f t="shared" si="4"/>
        <v>2</v>
      </c>
      <c r="H220" s="188"/>
      <c r="I220" s="188"/>
      <c r="J220" s="188"/>
    </row>
    <row r="221" spans="1:10" ht="18" customHeight="1">
      <c r="A221" s="543"/>
      <c r="B221" s="543"/>
      <c r="C221" s="543"/>
      <c r="D221" s="241" t="str">
        <f>'ZS Mich'!D166</f>
        <v>nagrody wójta za osiągnięcia naukowe i sportowe- szkoła podstawowa</v>
      </c>
      <c r="E221" s="206">
        <v>0</v>
      </c>
      <c r="F221" s="206">
        <v>6000</v>
      </c>
      <c r="G221" s="214" t="e">
        <f t="shared" si="4"/>
        <v>#DIV/0!</v>
      </c>
      <c r="H221" s="188"/>
      <c r="I221" s="188"/>
      <c r="J221" s="188"/>
    </row>
    <row r="222" spans="1:10" ht="18.75" customHeight="1">
      <c r="A222" s="543"/>
      <c r="B222" s="543"/>
      <c r="C222" s="543"/>
      <c r="D222" s="241" t="str">
        <f>'ZS Mich'!D167</f>
        <v>nagrody wójta za osiągnięcia naukowe i sportowe- gimnazjum</v>
      </c>
      <c r="E222" s="206">
        <v>6000</v>
      </c>
      <c r="F222" s="206">
        <v>6000</v>
      </c>
      <c r="G222" s="214">
        <f t="shared" si="4"/>
        <v>1</v>
      </c>
      <c r="H222" s="188"/>
      <c r="I222" s="188"/>
      <c r="J222" s="188"/>
    </row>
    <row r="223" spans="1:10" ht="17.25" customHeight="1">
      <c r="A223" s="543"/>
      <c r="B223" s="543"/>
      <c r="C223" s="544">
        <v>3240</v>
      </c>
      <c r="D223" s="242" t="str">
        <f>'Zbiorczo-paragr'!D630</f>
        <v>stypendia socjalne -uczniowie ze szkół poza gminą</v>
      </c>
      <c r="E223" s="206">
        <f>E224+E225</f>
        <v>21000</v>
      </c>
      <c r="F223" s="206">
        <f>F224+F225</f>
        <v>14000</v>
      </c>
      <c r="G223" s="196">
        <f t="shared" si="4"/>
        <v>0.66666666666666663</v>
      </c>
      <c r="H223" s="188"/>
      <c r="I223" s="188"/>
      <c r="J223" s="188"/>
    </row>
    <row r="224" spans="1:10" ht="17.25" customHeight="1">
      <c r="A224" s="543"/>
      <c r="B224" s="543"/>
      <c r="C224" s="552"/>
      <c r="D224" s="243" t="s">
        <v>365</v>
      </c>
      <c r="E224" s="206">
        <v>12000</v>
      </c>
      <c r="F224" s="207">
        <v>6000</v>
      </c>
      <c r="G224" s="196">
        <f t="shared" si="4"/>
        <v>0.5</v>
      </c>
      <c r="H224" s="188"/>
      <c r="I224" s="188"/>
      <c r="J224" s="188"/>
    </row>
    <row r="225" spans="1:10" ht="15" customHeight="1">
      <c r="A225" s="543"/>
      <c r="B225" s="543"/>
      <c r="C225" s="545"/>
      <c r="D225" s="243" t="s">
        <v>259</v>
      </c>
      <c r="E225" s="206">
        <v>9000</v>
      </c>
      <c r="F225" s="207">
        <v>8000</v>
      </c>
      <c r="G225" s="196">
        <f t="shared" si="4"/>
        <v>0.88888888888888884</v>
      </c>
      <c r="H225" s="188"/>
      <c r="I225" s="188"/>
      <c r="J225" s="188"/>
    </row>
    <row r="226" spans="1:10" ht="16.5" customHeight="1">
      <c r="A226" s="534" t="str">
        <f>'Zbiorczo-paragr'!A644:D644</f>
        <v>85416 Pomoc materialna dla uczniów o charakterze motywacyjnym : Razem</v>
      </c>
      <c r="B226" s="532"/>
      <c r="C226" s="532"/>
      <c r="D226" s="533"/>
      <c r="E226" s="236">
        <f>E220+E223</f>
        <v>27000</v>
      </c>
      <c r="F226" s="236">
        <f>F220+F223</f>
        <v>26000</v>
      </c>
      <c r="G226" s="244">
        <f t="shared" si="4"/>
        <v>0.96296296296296291</v>
      </c>
      <c r="H226" s="188"/>
      <c r="I226" s="188"/>
      <c r="J226" s="188"/>
    </row>
    <row r="227" spans="1:10" ht="18" customHeight="1">
      <c r="A227" s="535" t="str">
        <f>'Zbiorczo-paragr'!A645:D645</f>
        <v xml:space="preserve">854 Edukacyjna opieka wychowawcza - Razem                          </v>
      </c>
      <c r="B227" s="536"/>
      <c r="C227" s="536"/>
      <c r="D227" s="537"/>
      <c r="E227" s="235">
        <f>E209+E216+E219+E226</f>
        <v>529735</v>
      </c>
      <c r="F227" s="235">
        <f>F209+F216+F219+F226</f>
        <v>510806</v>
      </c>
      <c r="G227" s="245">
        <f t="shared" si="4"/>
        <v>0.96426703917996737</v>
      </c>
      <c r="H227" s="188"/>
      <c r="I227" s="188"/>
      <c r="J227" s="188"/>
    </row>
    <row r="228" spans="1:10" ht="18.75" customHeight="1">
      <c r="A228" s="531" t="str">
        <f>'Zbiorczo-paragr'!A661:D661</f>
        <v>WYDATKI OGÓŁEM</v>
      </c>
      <c r="B228" s="532"/>
      <c r="C228" s="532"/>
      <c r="D228" s="533"/>
      <c r="E228" s="235">
        <f>E227+E194</f>
        <v>7712519.9000000004</v>
      </c>
      <c r="F228" s="235">
        <f>F227+F194</f>
        <v>8476698</v>
      </c>
      <c r="G228" s="245">
        <f t="shared" si="4"/>
        <v>1.0990828043114675</v>
      </c>
      <c r="H228" s="202"/>
      <c r="J228" s="188"/>
    </row>
    <row r="229" spans="1:10">
      <c r="A229" s="239"/>
      <c r="B229" s="246"/>
      <c r="C229" s="246"/>
      <c r="D229" s="246"/>
      <c r="E229" s="247"/>
      <c r="F229" s="247"/>
      <c r="G229" s="246"/>
    </row>
    <row r="230" spans="1:10" hidden="1">
      <c r="A230" s="541" t="s">
        <v>69</v>
      </c>
      <c r="B230" s="542"/>
      <c r="C230" s="542"/>
      <c r="D230" s="542"/>
      <c r="E230" s="542"/>
      <c r="F230" s="542"/>
      <c r="G230" s="542"/>
    </row>
    <row r="231" spans="1:10" hidden="1">
      <c r="C231" s="197">
        <v>3020</v>
      </c>
      <c r="D231" s="209">
        <f>6600</f>
        <v>6600</v>
      </c>
      <c r="G231" s="197"/>
    </row>
    <row r="232" spans="1:10" hidden="1">
      <c r="C232" s="197">
        <v>4010</v>
      </c>
      <c r="D232" s="209">
        <f>32000</f>
        <v>32000</v>
      </c>
      <c r="G232" s="197"/>
    </row>
    <row r="233" spans="1:10" hidden="1">
      <c r="C233" s="197">
        <v>4110</v>
      </c>
      <c r="D233" s="209">
        <f>7100</f>
        <v>7100</v>
      </c>
      <c r="G233" s="197"/>
    </row>
    <row r="234" spans="1:10" hidden="1">
      <c r="C234" s="197">
        <v>4120</v>
      </c>
      <c r="D234" s="209">
        <f>1000</f>
        <v>1000</v>
      </c>
      <c r="G234" s="197"/>
    </row>
    <row r="235" spans="1:10" hidden="1">
      <c r="D235" s="248">
        <f>SUM(D231:D234)</f>
        <v>46700</v>
      </c>
      <c r="G235" s="197"/>
    </row>
    <row r="236" spans="1:10">
      <c r="E236" s="209"/>
      <c r="F236" s="249"/>
      <c r="G236" s="197"/>
    </row>
    <row r="237" spans="1:10">
      <c r="D237" s="52"/>
      <c r="E237" s="78"/>
      <c r="F237" s="209"/>
      <c r="G237" s="197"/>
    </row>
    <row r="238" spans="1:10">
      <c r="D238" s="52"/>
      <c r="E238" s="209"/>
      <c r="F238" s="209"/>
      <c r="G238" s="197"/>
    </row>
    <row r="239" spans="1:10">
      <c r="G239" s="197"/>
    </row>
    <row r="240" spans="1:10">
      <c r="G240" s="197"/>
    </row>
    <row r="241" spans="7:7">
      <c r="G241" s="197"/>
    </row>
    <row r="242" spans="7:7">
      <c r="G242" s="197"/>
    </row>
    <row r="243" spans="7:7">
      <c r="G243" s="197"/>
    </row>
    <row r="244" spans="7:7">
      <c r="G244" s="197"/>
    </row>
    <row r="245" spans="7:7">
      <c r="G245" s="197"/>
    </row>
    <row r="246" spans="7:7">
      <c r="G246" s="197"/>
    </row>
    <row r="247" spans="7:7">
      <c r="G247" s="197"/>
    </row>
    <row r="248" spans="7:7">
      <c r="G248" s="197"/>
    </row>
  </sheetData>
  <mergeCells count="32">
    <mergeCell ref="A1:G1"/>
    <mergeCell ref="A63:D63"/>
    <mergeCell ref="A150:D150"/>
    <mergeCell ref="A45:D45"/>
    <mergeCell ref="A166:A187"/>
    <mergeCell ref="A165:D165"/>
    <mergeCell ref="B151:B162"/>
    <mergeCell ref="A151:A162"/>
    <mergeCell ref="C166:C168"/>
    <mergeCell ref="A189:A192"/>
    <mergeCell ref="B189:B192"/>
    <mergeCell ref="C189:C192"/>
    <mergeCell ref="B166:B187"/>
    <mergeCell ref="A219:D219"/>
    <mergeCell ref="C223:C225"/>
    <mergeCell ref="A227:D227"/>
    <mergeCell ref="A220:A225"/>
    <mergeCell ref="B220:B225"/>
    <mergeCell ref="A193:D193"/>
    <mergeCell ref="A209:D209"/>
    <mergeCell ref="C220:C222"/>
    <mergeCell ref="A194:D194"/>
    <mergeCell ref="A228:D228"/>
    <mergeCell ref="A226:D226"/>
    <mergeCell ref="A137:D137"/>
    <mergeCell ref="A101:D101"/>
    <mergeCell ref="A188:D188"/>
    <mergeCell ref="A230:G230"/>
    <mergeCell ref="A216:D216"/>
    <mergeCell ref="A217:A218"/>
    <mergeCell ref="B217:B218"/>
    <mergeCell ref="C217:C218"/>
  </mergeCells>
  <phoneticPr fontId="4" type="noConversion"/>
  <printOptions horizontalCentered="1"/>
  <pageMargins left="0" right="0" top="0.98425196850393704" bottom="0.98425196850393704" header="0.51181102362204722" footer="0.51181102362204722"/>
  <pageSetup paperSize="9" scale="73" orientation="portrait" r:id="rId1"/>
  <headerFooter alignWithMargins="0">
    <oddFooter>Strona &amp;P</oddFooter>
  </headerFooter>
  <rowBreaks count="4" manualBreakCount="4">
    <brk id="45" max="6" man="1"/>
    <brk id="91" max="6" man="1"/>
    <brk id="137" max="6" man="1"/>
    <brk id="188" max="6" man="1"/>
  </rowBreaks>
</worksheet>
</file>

<file path=xl/worksheets/sheet3.xml><?xml version="1.0" encoding="utf-8"?>
<worksheet xmlns="http://schemas.openxmlformats.org/spreadsheetml/2006/main" xmlns:r="http://schemas.openxmlformats.org/officeDocument/2006/relationships">
  <dimension ref="A1:P78"/>
  <sheetViews>
    <sheetView topLeftCell="A37" zoomScaleNormal="100" zoomScaleSheetLayoutView="100" workbookViewId="0">
      <selection sqref="A1:G64"/>
    </sheetView>
  </sheetViews>
  <sheetFormatPr defaultRowHeight="15"/>
  <cols>
    <col min="1" max="1" width="5.28515625" style="52" customWidth="1"/>
    <col min="2" max="2" width="6.7109375" style="52" customWidth="1"/>
    <col min="3" max="3" width="5.42578125" style="52" customWidth="1"/>
    <col min="4" max="4" width="63" style="52" customWidth="1"/>
    <col min="5" max="5" width="13.7109375" style="52" customWidth="1"/>
    <col min="6" max="6" width="10.28515625" style="52" customWidth="1"/>
    <col min="7" max="7" width="10" style="52" customWidth="1"/>
    <col min="8" max="8" width="14" style="52" hidden="1" customWidth="1"/>
    <col min="9" max="16384" width="9.140625" style="52"/>
  </cols>
  <sheetData>
    <row r="1" spans="1:16" s="48" customFormat="1" ht="17.25" customHeight="1">
      <c r="A1" s="526" t="s">
        <v>715</v>
      </c>
      <c r="B1" s="526"/>
      <c r="C1" s="526"/>
      <c r="D1" s="526"/>
      <c r="E1" s="526"/>
      <c r="F1" s="526"/>
      <c r="G1" s="526"/>
      <c r="H1" s="47"/>
      <c r="I1" s="47"/>
      <c r="J1" s="47"/>
      <c r="K1" s="47"/>
      <c r="L1" s="47"/>
      <c r="M1" s="47"/>
      <c r="N1" s="47"/>
      <c r="O1" s="47"/>
      <c r="P1" s="47"/>
    </row>
    <row r="2" spans="1:16" s="48" customFormat="1" ht="45.75" customHeight="1">
      <c r="A2" s="15" t="str">
        <f>'[1]Zbiorczo-paragr'!A2</f>
        <v>Dz</v>
      </c>
      <c r="B2" s="15" t="str">
        <f>'[1]Zbiorczo-paragr'!B2</f>
        <v>Rozdz</v>
      </c>
      <c r="C2" s="15" t="str">
        <f>'[1]Zbiorczo-paragr'!C2</f>
        <v>§</v>
      </c>
      <c r="D2" s="15" t="str">
        <f>'[1]Zbiorczo-paragr'!D2</f>
        <v>Zadanie</v>
      </c>
      <c r="E2" s="16" t="s">
        <v>687</v>
      </c>
      <c r="F2" s="16" t="s">
        <v>688</v>
      </c>
      <c r="G2" s="16" t="s">
        <v>331</v>
      </c>
      <c r="H2" s="42" t="s">
        <v>384</v>
      </c>
      <c r="I2" s="47"/>
      <c r="J2" s="47"/>
      <c r="K2" s="47"/>
      <c r="L2" s="47"/>
      <c r="M2" s="47"/>
      <c r="N2" s="47"/>
      <c r="O2" s="47"/>
      <c r="P2" s="47"/>
    </row>
    <row r="3" spans="1:16" ht="17.25" customHeight="1">
      <c r="A3" s="15">
        <f>'[1]Zbiorczo-paragr'!A222</f>
        <v>801</v>
      </c>
      <c r="B3" s="15">
        <f>'[1]Zbiorczo-paragr'!B222</f>
        <v>80104</v>
      </c>
      <c r="C3" s="15">
        <f>'[1]Zbiorczo-paragr'!C222</f>
        <v>3020</v>
      </c>
      <c r="D3" s="57" t="str">
        <f>'ZSP NW'!D64</f>
        <v xml:space="preserve">Nagrody i wydatki  osobowe nie zaliczone do wynagrodzeń  </v>
      </c>
      <c r="E3" s="50">
        <f>SUM(E4:E5)</f>
        <v>45930</v>
      </c>
      <c r="F3" s="50">
        <f>SUM(F4:F5)</f>
        <v>27500</v>
      </c>
      <c r="G3" s="70">
        <f>SUM(F3/E3)</f>
        <v>0.5987372087959939</v>
      </c>
      <c r="H3" s="43" t="e">
        <f>F3/#REF!</f>
        <v>#REF!</v>
      </c>
      <c r="I3" s="56"/>
      <c r="J3" s="47"/>
      <c r="K3" s="47"/>
      <c r="L3" s="47"/>
      <c r="M3" s="47"/>
      <c r="N3" s="47"/>
      <c r="O3" s="47"/>
      <c r="P3" s="47"/>
    </row>
    <row r="4" spans="1:16" ht="19.149999999999999" customHeight="1">
      <c r="A4" s="15"/>
      <c r="B4" s="27"/>
      <c r="C4" s="27"/>
      <c r="D4" s="57" t="str">
        <f>'ZSP NW'!D65</f>
        <v>dodatki wiejskie dla nauczycieli, pomoc zdrowotna dla nauczycieli</v>
      </c>
      <c r="E4" s="50">
        <f>'ZSP NW'!E65</f>
        <v>45430</v>
      </c>
      <c r="F4" s="50">
        <f>'ZSP NW'!F65</f>
        <v>27000</v>
      </c>
      <c r="G4" s="70">
        <f t="shared" ref="G4:G64" si="0">SUM(F4/E4)</f>
        <v>0.59432093330398417</v>
      </c>
      <c r="H4" s="43" t="e">
        <f>F4/#REF!</f>
        <v>#REF!</v>
      </c>
      <c r="I4" s="47"/>
      <c r="J4" s="47"/>
      <c r="K4" s="47"/>
      <c r="L4" s="47"/>
      <c r="M4" s="47"/>
      <c r="N4" s="47"/>
      <c r="O4" s="47"/>
      <c r="P4" s="47"/>
    </row>
    <row r="5" spans="1:16" ht="16.899999999999999" customHeight="1">
      <c r="A5" s="15"/>
      <c r="B5" s="27"/>
      <c r="C5" s="27"/>
      <c r="D5" s="57" t="str">
        <f>'ZSP NW'!D66</f>
        <v>odzież ochronna</v>
      </c>
      <c r="E5" s="50">
        <f>'ZSP NW'!E66</f>
        <v>500</v>
      </c>
      <c r="F5" s="50">
        <f>'ZSP NW'!F66</f>
        <v>500</v>
      </c>
      <c r="G5" s="70">
        <f t="shared" si="0"/>
        <v>1</v>
      </c>
      <c r="H5" s="43"/>
      <c r="I5" s="47"/>
      <c r="J5" s="47"/>
      <c r="K5" s="47"/>
      <c r="L5" s="47"/>
      <c r="M5" s="47"/>
      <c r="N5" s="47"/>
      <c r="O5" s="47"/>
      <c r="P5" s="47"/>
    </row>
    <row r="6" spans="1:16" ht="17.25" customHeight="1">
      <c r="A6" s="15"/>
      <c r="B6" s="27"/>
      <c r="C6" s="27">
        <f>'[1]Zbiorczo-paragr'!C225</f>
        <v>4010</v>
      </c>
      <c r="D6" s="57" t="str">
        <f>'ZSP NW'!D67</f>
        <v xml:space="preserve">Wynagrodzenia osobowe pracowników                       </v>
      </c>
      <c r="E6" s="50">
        <f>'ZSP NW'!E67</f>
        <v>570412</v>
      </c>
      <c r="F6" s="50">
        <f>'ZSP NW'!F67</f>
        <v>662500</v>
      </c>
      <c r="G6" s="70">
        <f t="shared" si="0"/>
        <v>1.1614412039017412</v>
      </c>
      <c r="H6" s="43" t="e">
        <f>F6/#REF!</f>
        <v>#REF!</v>
      </c>
      <c r="I6" s="56"/>
      <c r="J6" s="47"/>
      <c r="K6" s="47"/>
      <c r="L6" s="47"/>
      <c r="M6" s="47"/>
      <c r="N6" s="47"/>
      <c r="O6" s="47"/>
      <c r="P6" s="47"/>
    </row>
    <row r="7" spans="1:16" ht="32.450000000000003" customHeight="1">
      <c r="A7" s="15"/>
      <c r="B7" s="27"/>
      <c r="C7" s="27"/>
      <c r="D7" s="57" t="str">
        <f>'ZSP NW'!D68</f>
        <v>-wynagrodzenia osobowe pracowników, awanse nauczycielskie, odprawa emerytalna, nagrody specjalne DEN</v>
      </c>
      <c r="E7" s="50">
        <f>'ZSP NW'!E68</f>
        <v>560012</v>
      </c>
      <c r="F7" s="50">
        <f>'ZSP NW'!F68</f>
        <v>633500</v>
      </c>
      <c r="G7" s="70">
        <f t="shared" si="0"/>
        <v>1.1312257594480117</v>
      </c>
      <c r="H7" s="43" t="e">
        <f>F7/#REF!</f>
        <v>#REF!</v>
      </c>
      <c r="I7" s="47"/>
      <c r="J7" s="47"/>
      <c r="K7" s="47"/>
      <c r="L7" s="47"/>
      <c r="M7" s="47"/>
      <c r="N7" s="47"/>
      <c r="O7" s="47"/>
      <c r="P7" s="47"/>
    </row>
    <row r="8" spans="1:16" ht="17.25" customHeight="1">
      <c r="A8" s="15"/>
      <c r="B8" s="27"/>
      <c r="C8" s="27"/>
      <c r="D8" s="57" t="str">
        <f>'ZSP NW'!D69</f>
        <v>nagrody jubileuszowe 3</v>
      </c>
      <c r="E8" s="50">
        <f>'ZSP NW'!E69</f>
        <v>10400</v>
      </c>
      <c r="F8" s="50">
        <f>'ZSP NW'!F69</f>
        <v>29000</v>
      </c>
      <c r="G8" s="70">
        <f t="shared" si="0"/>
        <v>2.7884615384615383</v>
      </c>
      <c r="H8" s="43"/>
      <c r="I8" s="47"/>
      <c r="J8" s="47"/>
      <c r="K8" s="47"/>
      <c r="L8" s="47"/>
      <c r="M8" s="47"/>
      <c r="N8" s="47"/>
      <c r="O8" s="47"/>
      <c r="P8" s="47"/>
    </row>
    <row r="9" spans="1:16" ht="46.5" customHeight="1">
      <c r="A9" s="15"/>
      <c r="B9" s="27"/>
      <c r="C9" s="27">
        <f>'[1]Zbiorczo-paragr'!C232</f>
        <v>4040</v>
      </c>
      <c r="D9" s="57" t="str">
        <f>'ZSP NW'!D70</f>
        <v xml:space="preserve"> Dodatkowe wynagrodzenie roczne - wydatki ponoszone zgodnie z ustawą o dodatkowym wynagrodzeniu rocznym dla pracowników jednostek sfery budżetowej</v>
      </c>
      <c r="E9" s="50">
        <f>'ZSP NW'!E70</f>
        <v>47000</v>
      </c>
      <c r="F9" s="50">
        <f>'ZSP NW'!F70</f>
        <v>51000</v>
      </c>
      <c r="G9" s="70">
        <f t="shared" si="0"/>
        <v>1.0851063829787233</v>
      </c>
      <c r="H9" s="43" t="e">
        <f>F9/#REF!</f>
        <v>#REF!</v>
      </c>
      <c r="I9" s="47"/>
      <c r="J9" s="47"/>
      <c r="K9" s="47"/>
      <c r="L9" s="47"/>
      <c r="M9" s="47"/>
      <c r="N9" s="47"/>
      <c r="O9" s="47"/>
      <c r="P9" s="47"/>
    </row>
    <row r="10" spans="1:16" ht="21" customHeight="1">
      <c r="A10" s="15"/>
      <c r="B10" s="27"/>
      <c r="C10" s="27">
        <f>'[1]Zbiorczo-paragr'!C235</f>
        <v>4110</v>
      </c>
      <c r="D10" s="57" t="str">
        <f>'ZSP NW'!D71</f>
        <v xml:space="preserve">Składki na ubezpieczenia społeczne                      </v>
      </c>
      <c r="E10" s="50">
        <f>'ZSP NW'!E71</f>
        <v>118425</v>
      </c>
      <c r="F10" s="50">
        <f>'ZSP NW'!F71</f>
        <v>125000</v>
      </c>
      <c r="G10" s="70">
        <f t="shared" si="0"/>
        <v>1.0555203715431707</v>
      </c>
      <c r="H10" s="43" t="e">
        <f>F10/#REF!</f>
        <v>#REF!</v>
      </c>
      <c r="I10" s="47"/>
      <c r="J10" s="47"/>
      <c r="K10" s="47"/>
      <c r="L10" s="47"/>
      <c r="M10" s="47"/>
      <c r="N10" s="47"/>
      <c r="O10" s="47"/>
      <c r="P10" s="47"/>
    </row>
    <row r="11" spans="1:16" ht="18" customHeight="1">
      <c r="A11" s="15"/>
      <c r="B11" s="27"/>
      <c r="C11" s="27">
        <f>'[1]Zbiorczo-paragr'!C238</f>
        <v>4120</v>
      </c>
      <c r="D11" s="57" t="str">
        <f>'ZSP NW'!D72</f>
        <v xml:space="preserve">Składki na Fundusz Pracy                                </v>
      </c>
      <c r="E11" s="50">
        <f>'ZSP NW'!E72</f>
        <v>15690</v>
      </c>
      <c r="F11" s="50">
        <f>'ZSP NW'!F72</f>
        <v>16000</v>
      </c>
      <c r="G11" s="70">
        <f t="shared" si="0"/>
        <v>1.0197578075207139</v>
      </c>
      <c r="H11" s="43" t="e">
        <f>F11/#REF!</f>
        <v>#REF!</v>
      </c>
      <c r="I11" s="47"/>
      <c r="J11" s="47"/>
      <c r="K11" s="47"/>
      <c r="L11" s="47"/>
      <c r="M11" s="47"/>
      <c r="N11" s="47"/>
      <c r="O11" s="47"/>
      <c r="P11" s="47"/>
    </row>
    <row r="12" spans="1:16" ht="17.25" hidden="1" customHeight="1">
      <c r="A12" s="15"/>
      <c r="B12" s="27"/>
      <c r="C12" s="27">
        <f>'[1]Zbiorczo-paragr'!C243</f>
        <v>4170</v>
      </c>
      <c r="D12" s="57" t="str">
        <f>'ZSP NW'!D73</f>
        <v>Wynagrodzenia bezosobowe</v>
      </c>
      <c r="E12" s="50">
        <f>'ZSP NW'!E73</f>
        <v>0</v>
      </c>
      <c r="F12" s="50">
        <f>'ZSP NW'!F73</f>
        <v>0</v>
      </c>
      <c r="G12" s="70" t="e">
        <f t="shared" si="0"/>
        <v>#DIV/0!</v>
      </c>
      <c r="H12" s="43" t="e">
        <f>F12/#REF!</f>
        <v>#REF!</v>
      </c>
      <c r="I12" s="47"/>
      <c r="J12" s="47"/>
      <c r="K12" s="47"/>
      <c r="L12" s="47"/>
      <c r="M12" s="47"/>
      <c r="N12" s="47"/>
      <c r="O12" s="47"/>
      <c r="P12" s="47"/>
    </row>
    <row r="13" spans="1:16" ht="29.25" hidden="1" customHeight="1">
      <c r="A13" s="15"/>
      <c r="B13" s="27"/>
      <c r="C13" s="27"/>
      <c r="D13" s="57" t="str">
        <f>'ZSP NW'!D74</f>
        <v xml:space="preserve">umowy zlecenia ( malowanie pomieszczeń do zajęć dodatkowych oraz sekretariatu) </v>
      </c>
      <c r="E13" s="50">
        <f>'ZSP NW'!E74</f>
        <v>0</v>
      </c>
      <c r="F13" s="50">
        <f>'ZSP NW'!F74</f>
        <v>0</v>
      </c>
      <c r="G13" s="70" t="e">
        <f t="shared" si="0"/>
        <v>#DIV/0!</v>
      </c>
      <c r="H13" s="43" t="e">
        <f>F13/#REF!</f>
        <v>#REF!</v>
      </c>
      <c r="I13" s="47"/>
      <c r="J13" s="47"/>
      <c r="K13" s="47"/>
      <c r="L13" s="47"/>
      <c r="M13" s="47"/>
      <c r="N13" s="47"/>
      <c r="O13" s="47"/>
      <c r="P13" s="47"/>
    </row>
    <row r="14" spans="1:16" ht="15.75">
      <c r="A14" s="15"/>
      <c r="B14" s="27"/>
      <c r="C14" s="27">
        <f>'[1]Zbiorczo-paragr'!C248</f>
        <v>4210</v>
      </c>
      <c r="D14" s="57" t="str">
        <f>'ZSP NW'!D75</f>
        <v xml:space="preserve">Zakup materiałów i wyposażenia                          </v>
      </c>
      <c r="E14" s="50">
        <f>'ZSP NW'!E75</f>
        <v>27400</v>
      </c>
      <c r="F14" s="50">
        <f>'ZSP NW'!F75</f>
        <v>27050</v>
      </c>
      <c r="G14" s="70">
        <f t="shared" si="0"/>
        <v>0.98722627737226276</v>
      </c>
      <c r="H14" s="43" t="e">
        <f>F14/#REF!</f>
        <v>#REF!</v>
      </c>
      <c r="I14" s="47"/>
      <c r="J14" s="47"/>
      <c r="K14" s="47"/>
      <c r="L14" s="47"/>
      <c r="M14" s="47"/>
      <c r="N14" s="47"/>
      <c r="O14" s="47"/>
      <c r="P14" s="47"/>
    </row>
    <row r="15" spans="1:16" ht="60" customHeight="1">
      <c r="A15" s="15"/>
      <c r="B15" s="27"/>
      <c r="C15" s="27"/>
      <c r="D15" s="57" t="str">
        <f>'ZSP NW'!D76</f>
        <v>zakup środków czystości, materiałów biurowych, piśmiennych, wyposażenia,  środków do konserwacji i napraw, artykułów hydraulicznych, technicznych, gospodarczych, sprzętu kuchennego, zakup mebli do szatni, półek na leżaki, paliwa i inne</v>
      </c>
      <c r="E15" s="50">
        <f>'ZSP NW'!E76</f>
        <v>27400</v>
      </c>
      <c r="F15" s="50">
        <f>'ZSP NW'!F76</f>
        <v>27050</v>
      </c>
      <c r="G15" s="70">
        <f t="shared" si="0"/>
        <v>0.98722627737226276</v>
      </c>
      <c r="H15" s="43" t="e">
        <f>F15/#REF!</f>
        <v>#REF!</v>
      </c>
      <c r="I15" s="47"/>
      <c r="J15" s="47"/>
      <c r="K15" s="47"/>
      <c r="L15" s="47"/>
      <c r="M15" s="47"/>
      <c r="N15" s="47"/>
      <c r="O15" s="47"/>
      <c r="P15" s="47"/>
    </row>
    <row r="16" spans="1:16" ht="15.6" customHeight="1">
      <c r="A16" s="15"/>
      <c r="B16" s="27"/>
      <c r="C16" s="27">
        <f>'ZSP NW'!C77</f>
        <v>4220</v>
      </c>
      <c r="D16" s="57" t="str">
        <f>'ZSP NW'!D77</f>
        <v>Zakup środków żywności</v>
      </c>
      <c r="E16" s="50">
        <f>E17</f>
        <v>3000</v>
      </c>
      <c r="F16" s="50">
        <f>F17</f>
        <v>5500</v>
      </c>
      <c r="G16" s="70">
        <f t="shared" si="0"/>
        <v>1.8333333333333333</v>
      </c>
      <c r="H16" s="43"/>
      <c r="I16" s="47"/>
      <c r="J16" s="47"/>
      <c r="K16" s="47"/>
      <c r="L16" s="47"/>
      <c r="M16" s="47"/>
      <c r="N16" s="47"/>
      <c r="O16" s="47"/>
      <c r="P16" s="47"/>
    </row>
    <row r="17" spans="1:16" ht="15" customHeight="1">
      <c r="A17" s="15"/>
      <c r="B17" s="27"/>
      <c r="C17" s="27"/>
      <c r="D17" s="57" t="str">
        <f>'ZSP NW'!D78</f>
        <v>Zakup środków żywności - woda dla dzieci</v>
      </c>
      <c r="E17" s="50">
        <f>'ZSP NW'!E78</f>
        <v>3000</v>
      </c>
      <c r="F17" s="50">
        <f>'ZSP NW'!F78</f>
        <v>5500</v>
      </c>
      <c r="G17" s="70">
        <f t="shared" si="0"/>
        <v>1.8333333333333333</v>
      </c>
      <c r="H17" s="43"/>
      <c r="I17" s="47"/>
      <c r="J17" s="47"/>
      <c r="K17" s="47"/>
      <c r="L17" s="47"/>
      <c r="M17" s="47"/>
      <c r="N17" s="47"/>
      <c r="O17" s="47"/>
      <c r="P17" s="47"/>
    </row>
    <row r="18" spans="1:16" ht="19.5" customHeight="1">
      <c r="A18" s="15"/>
      <c r="B18" s="27"/>
      <c r="C18" s="27">
        <f>'[1]Zbiorczo-paragr'!C254</f>
        <v>4240</v>
      </c>
      <c r="D18" s="57" t="str">
        <f>'ZSP NW'!D79</f>
        <v>Zakup pomocy naukowych, dydaktycznych i książek  (art.plastyczne, zabawki, książki, przewodniki metodyczne)</v>
      </c>
      <c r="E18" s="50">
        <f>'ZSP NW'!E79</f>
        <v>10700</v>
      </c>
      <c r="F18" s="50">
        <f>'ZSP NW'!F79</f>
        <v>8000</v>
      </c>
      <c r="G18" s="70">
        <f t="shared" si="0"/>
        <v>0.74766355140186913</v>
      </c>
      <c r="H18" s="43" t="e">
        <f>F18/#REF!</f>
        <v>#REF!</v>
      </c>
      <c r="I18" s="47"/>
      <c r="J18" s="47"/>
      <c r="K18" s="47"/>
      <c r="L18" s="47"/>
      <c r="M18" s="47"/>
      <c r="N18" s="47"/>
      <c r="O18" s="47"/>
      <c r="P18" s="47"/>
    </row>
    <row r="19" spans="1:16" ht="17.25" customHeight="1">
      <c r="A19" s="15"/>
      <c r="B19" s="27"/>
      <c r="C19" s="27">
        <f>'[1]Zbiorczo-paragr'!C257</f>
        <v>4260</v>
      </c>
      <c r="D19" s="57" t="str">
        <f>'ZSP NW'!D80</f>
        <v xml:space="preserve">Zakup energii                                           </v>
      </c>
      <c r="E19" s="50">
        <f>'ZSP NW'!E80</f>
        <v>32300</v>
      </c>
      <c r="F19" s="50">
        <f>'ZSP NW'!F80</f>
        <v>32300</v>
      </c>
      <c r="G19" s="70">
        <f t="shared" si="0"/>
        <v>1</v>
      </c>
      <c r="H19" s="43" t="e">
        <f>F19/#REF!</f>
        <v>#REF!</v>
      </c>
      <c r="I19" s="47"/>
      <c r="J19" s="47"/>
      <c r="K19" s="47"/>
      <c r="L19" s="47"/>
      <c r="M19" s="47"/>
      <c r="N19" s="47"/>
      <c r="O19" s="47"/>
      <c r="P19" s="47"/>
    </row>
    <row r="20" spans="1:16" ht="15" customHeight="1">
      <c r="A20" s="15"/>
      <c r="B20" s="27"/>
      <c r="C20" s="27"/>
      <c r="D20" s="57" t="str">
        <f>'ZSP NW'!D81</f>
        <v>opłaty za dostawę energii elektrycznej, gazu i wody</v>
      </c>
      <c r="E20" s="50">
        <f>'ZSP NW'!E81</f>
        <v>32300</v>
      </c>
      <c r="F20" s="50">
        <f>'ZSP NW'!F81</f>
        <v>32300</v>
      </c>
      <c r="G20" s="70">
        <f t="shared" si="0"/>
        <v>1</v>
      </c>
      <c r="H20" s="43" t="e">
        <f>F20/#REF!</f>
        <v>#REF!</v>
      </c>
      <c r="I20" s="47"/>
      <c r="J20" s="47"/>
      <c r="K20" s="47"/>
      <c r="L20" s="47"/>
      <c r="M20" s="47"/>
      <c r="N20" s="47"/>
      <c r="O20" s="47"/>
      <c r="P20" s="47"/>
    </row>
    <row r="21" spans="1:16" ht="15.75" customHeight="1">
      <c r="A21" s="15"/>
      <c r="B21" s="27"/>
      <c r="C21" s="27">
        <f>'[1]Zbiorczo-paragr'!C260</f>
        <v>4270</v>
      </c>
      <c r="D21" s="57" t="str">
        <f>'ZSP NW'!D82</f>
        <v xml:space="preserve">Zakup usług remontowych                                 </v>
      </c>
      <c r="E21" s="50">
        <f>'ZSP NW'!E82</f>
        <v>1800</v>
      </c>
      <c r="F21" s="50">
        <f>'ZSP NW'!F82</f>
        <v>1800</v>
      </c>
      <c r="G21" s="70">
        <f t="shared" si="0"/>
        <v>1</v>
      </c>
      <c r="H21" s="43" t="e">
        <f>F21/#REF!</f>
        <v>#REF!</v>
      </c>
      <c r="I21" s="47"/>
      <c r="J21" s="47"/>
      <c r="K21" s="47"/>
      <c r="L21" s="47"/>
      <c r="M21" s="47"/>
      <c r="N21" s="47"/>
      <c r="O21" s="47"/>
      <c r="P21" s="47"/>
    </row>
    <row r="22" spans="1:16" ht="58.5" customHeight="1">
      <c r="A22" s="15"/>
      <c r="B22" s="27"/>
      <c r="C22" s="27"/>
      <c r="D22" s="57" t="str">
        <f>'ZSP NW'!D83</f>
        <v>prace remontowe w budynku przedszkolnym  (wykonanie i wymiana pokryw zabezpieczających piaskownice 5 000zł, wymiana ogrodzenia przy placu zabaw 5 000zł, malowanie Sali 2 000zł, wymiana okien 6 000zł, wymiana lufcików w oknach 1 200zł)</v>
      </c>
      <c r="E22" s="50">
        <f>'ZSP NW'!E83</f>
        <v>0</v>
      </c>
      <c r="F22" s="50">
        <f>'ZSP NW'!F83</f>
        <v>0</v>
      </c>
      <c r="G22" s="70" t="e">
        <f t="shared" si="0"/>
        <v>#DIV/0!</v>
      </c>
      <c r="H22" s="43" t="e">
        <f>F22/#REF!</f>
        <v>#REF!</v>
      </c>
      <c r="I22" s="47"/>
      <c r="J22" s="47"/>
      <c r="K22" s="47"/>
      <c r="L22" s="47"/>
      <c r="M22" s="47"/>
      <c r="N22" s="47"/>
      <c r="O22" s="47"/>
      <c r="P22" s="47"/>
    </row>
    <row r="23" spans="1:16" ht="19.5" customHeight="1">
      <c r="A23" s="15"/>
      <c r="B23" s="27"/>
      <c r="C23" s="27"/>
      <c r="D23" s="57" t="str">
        <f>'ZSP NW'!D84</f>
        <v>usługi konserwacyjne, naprawcze maszyn, urządzeń, sprzętu</v>
      </c>
      <c r="E23" s="50">
        <f>'ZSP NW'!E84</f>
        <v>1800</v>
      </c>
      <c r="F23" s="50">
        <f>'ZSP NW'!F84</f>
        <v>1800</v>
      </c>
      <c r="G23" s="70">
        <f t="shared" si="0"/>
        <v>1</v>
      </c>
      <c r="H23" s="43" t="e">
        <f>F23/#REF!</f>
        <v>#REF!</v>
      </c>
      <c r="I23" s="47"/>
      <c r="J23" s="47"/>
      <c r="K23" s="47"/>
      <c r="L23" s="47"/>
      <c r="M23" s="47"/>
      <c r="N23" s="47"/>
      <c r="O23" s="47"/>
      <c r="P23" s="47"/>
    </row>
    <row r="24" spans="1:16" ht="30.6" customHeight="1">
      <c r="A24" s="15"/>
      <c r="B24" s="27"/>
      <c r="C24" s="27">
        <f>'[1]Zbiorczo-paragr'!C265</f>
        <v>4280</v>
      </c>
      <c r="D24" s="57" t="str">
        <f>'ZSP NW'!D85</f>
        <v>Zakup usług zdrowotnych</v>
      </c>
      <c r="E24" s="50">
        <f>'ZSP NW'!E85</f>
        <v>500</v>
      </c>
      <c r="F24" s="50">
        <f>'ZSP NW'!F85</f>
        <v>500</v>
      </c>
      <c r="G24" s="70">
        <f t="shared" si="0"/>
        <v>1</v>
      </c>
      <c r="H24" s="43" t="e">
        <f>F24/#REF!</f>
        <v>#REF!</v>
      </c>
      <c r="I24" s="47"/>
      <c r="J24" s="47"/>
      <c r="K24" s="47"/>
      <c r="L24" s="47"/>
      <c r="M24" s="47"/>
      <c r="N24" s="47"/>
      <c r="O24" s="47"/>
      <c r="P24" s="47"/>
    </row>
    <row r="25" spans="1:16" ht="15" customHeight="1">
      <c r="A25" s="15"/>
      <c r="B25" s="27"/>
      <c r="C25" s="27">
        <f>'[1]Zbiorczo-paragr'!C268</f>
        <v>4300</v>
      </c>
      <c r="D25" s="57" t="str">
        <f>'ZSP NW'!D86</f>
        <v xml:space="preserve">Zakup usług pozostałych                                 </v>
      </c>
      <c r="E25" s="50">
        <f>'ZSP NW'!E86</f>
        <v>30000</v>
      </c>
      <c r="F25" s="50">
        <f>'ZSP NW'!F86</f>
        <v>29900</v>
      </c>
      <c r="G25" s="70">
        <f t="shared" si="0"/>
        <v>0.9966666666666667</v>
      </c>
      <c r="H25" s="43" t="e">
        <f>F25/#REF!</f>
        <v>#REF!</v>
      </c>
      <c r="I25" s="47"/>
      <c r="J25" s="47"/>
      <c r="K25" s="47"/>
      <c r="L25" s="47"/>
      <c r="M25" s="47"/>
      <c r="N25" s="47"/>
      <c r="O25" s="47"/>
      <c r="P25" s="47"/>
    </row>
    <row r="26" spans="1:16" ht="78" customHeight="1">
      <c r="A26" s="15"/>
      <c r="B26" s="27"/>
      <c r="C26" s="27"/>
      <c r="D26" s="57" t="str">
        <f>'ZSP NW'!D87</f>
        <v>usługi pocztowe, wywóz śmieci i odpadów kuchennych, serwis programów komputerowych, usługi kominiarskie, opłaty za monitoring budynku, opłaty za ścieki, opłaty RTV, teatrzyki i spotkania edukacyjne, przglądy budowlane i p-poz., pełnienie obowiązków RODO,  dystrybucja energii elektrycznej   i inne</v>
      </c>
      <c r="E26" s="50">
        <f>'ZSP NW'!E87</f>
        <v>30000</v>
      </c>
      <c r="F26" s="50">
        <f>'ZSP NW'!F87</f>
        <v>29900</v>
      </c>
      <c r="G26" s="70">
        <f t="shared" si="0"/>
        <v>0.9966666666666667</v>
      </c>
      <c r="H26" s="43" t="e">
        <f>F26/#REF!</f>
        <v>#REF!</v>
      </c>
      <c r="I26" s="47"/>
      <c r="J26" s="47"/>
      <c r="K26" s="47"/>
      <c r="L26" s="47"/>
      <c r="M26" s="47"/>
      <c r="N26" s="47"/>
      <c r="O26" s="47"/>
      <c r="P26" s="47"/>
    </row>
    <row r="27" spans="1:16" ht="18" customHeight="1">
      <c r="A27" s="15"/>
      <c r="B27" s="27"/>
      <c r="C27" s="27">
        <v>4360</v>
      </c>
      <c r="D27" s="57" t="str">
        <f>'ZSP NW'!D88</f>
        <v xml:space="preserve">Opłaty z tytułu zakupu usług telekomunikacyjnych </v>
      </c>
      <c r="E27" s="50">
        <f>'ZSP NW'!E88</f>
        <v>1400</v>
      </c>
      <c r="F27" s="50">
        <f>'ZSP NW'!F88</f>
        <v>1400</v>
      </c>
      <c r="G27" s="70">
        <f t="shared" si="0"/>
        <v>1</v>
      </c>
      <c r="H27" s="43" t="e">
        <f>F27/#REF!</f>
        <v>#REF!</v>
      </c>
      <c r="I27" s="47"/>
      <c r="J27" s="47"/>
      <c r="K27" s="47"/>
      <c r="L27" s="47"/>
      <c r="M27" s="47"/>
      <c r="N27" s="47"/>
      <c r="O27" s="47"/>
      <c r="P27" s="47"/>
    </row>
    <row r="28" spans="1:16" ht="14.25" customHeight="1">
      <c r="A28" s="15"/>
      <c r="B28" s="27"/>
      <c r="C28" s="27"/>
      <c r="D28" s="57" t="str">
        <f>'ZSP NW'!D89</f>
        <v>opłata za telefon</v>
      </c>
      <c r="E28" s="50">
        <f>'ZSP NW'!E89</f>
        <v>1400</v>
      </c>
      <c r="F28" s="50">
        <f>'ZSP NW'!F89</f>
        <v>1400</v>
      </c>
      <c r="G28" s="70">
        <f t="shared" si="0"/>
        <v>1</v>
      </c>
      <c r="H28" s="43" t="e">
        <f>F28/#REF!</f>
        <v>#REF!</v>
      </c>
      <c r="I28" s="47"/>
      <c r="J28" s="47"/>
      <c r="K28" s="47"/>
      <c r="L28" s="47"/>
      <c r="M28" s="47"/>
      <c r="N28" s="47"/>
      <c r="O28" s="47"/>
      <c r="P28" s="47"/>
    </row>
    <row r="29" spans="1:16" ht="14.25" customHeight="1">
      <c r="A29" s="15"/>
      <c r="B29" s="27"/>
      <c r="C29" s="27">
        <v>4390</v>
      </c>
      <c r="D29" s="57" t="str">
        <f>'ZSP NW'!D90</f>
        <v>Zakup usług obejmujących wykonanie ekspertyz, analiz i opinii</v>
      </c>
      <c r="E29" s="50">
        <f>'ZSP NW'!E90</f>
        <v>200</v>
      </c>
      <c r="F29" s="50">
        <f>'ZSP NW'!F90</f>
        <v>200</v>
      </c>
      <c r="G29" s="70">
        <f t="shared" si="0"/>
        <v>1</v>
      </c>
      <c r="H29" s="43" t="e">
        <f>F29/#REF!</f>
        <v>#REF!</v>
      </c>
      <c r="I29" s="47"/>
      <c r="J29" s="47"/>
      <c r="K29" s="47"/>
      <c r="L29" s="47"/>
      <c r="M29" s="47"/>
      <c r="N29" s="47"/>
      <c r="O29" s="47"/>
      <c r="P29" s="47"/>
    </row>
    <row r="30" spans="1:16" ht="14.25" customHeight="1">
      <c r="A30" s="15"/>
      <c r="B30" s="27"/>
      <c r="C30" s="27"/>
      <c r="D30" s="57" t="str">
        <f>'ZSP NW'!D91</f>
        <v>opłaty związane z badaniem wody</v>
      </c>
      <c r="E30" s="50">
        <f>'ZSP NW'!E91</f>
        <v>200</v>
      </c>
      <c r="F30" s="50">
        <f>'ZSP NW'!F91</f>
        <v>200</v>
      </c>
      <c r="G30" s="70">
        <f t="shared" si="0"/>
        <v>1</v>
      </c>
      <c r="H30" s="43" t="e">
        <f>F30/#REF!</f>
        <v>#REF!</v>
      </c>
      <c r="I30" s="47"/>
      <c r="J30" s="47"/>
      <c r="K30" s="47"/>
      <c r="L30" s="47"/>
      <c r="M30" s="47"/>
      <c r="N30" s="47"/>
      <c r="O30" s="47"/>
      <c r="P30" s="47"/>
    </row>
    <row r="31" spans="1:16" ht="15.75" customHeight="1">
      <c r="A31" s="15"/>
      <c r="B31" s="27"/>
      <c r="C31" s="27">
        <f>'[1]Zbiorczo-paragr'!C277</f>
        <v>4410</v>
      </c>
      <c r="D31" s="57" t="str">
        <f>'ZSP NW'!D92</f>
        <v xml:space="preserve">Podróże służbowe krajowe                                </v>
      </c>
      <c r="E31" s="50">
        <f>'ZSP NW'!E92</f>
        <v>300</v>
      </c>
      <c r="F31" s="50">
        <f>'ZSP NW'!F92</f>
        <v>300</v>
      </c>
      <c r="G31" s="70">
        <f t="shared" si="0"/>
        <v>1</v>
      </c>
      <c r="H31" s="43" t="e">
        <f>F31/#REF!</f>
        <v>#REF!</v>
      </c>
      <c r="I31" s="47"/>
      <c r="J31" s="47"/>
      <c r="K31" s="47"/>
      <c r="L31" s="47"/>
      <c r="M31" s="47"/>
      <c r="N31" s="47"/>
      <c r="O31" s="47"/>
      <c r="P31" s="47"/>
    </row>
    <row r="32" spans="1:16" ht="16.5" customHeight="1">
      <c r="A32" s="15"/>
      <c r="B32" s="27"/>
      <c r="C32" s="27"/>
      <c r="D32" s="57" t="str">
        <f>'ZSP NW'!D93</f>
        <v xml:space="preserve">wydatki na podróże służbowe krajowe </v>
      </c>
      <c r="E32" s="50">
        <f>'ZSP NW'!E93</f>
        <v>300</v>
      </c>
      <c r="F32" s="50">
        <f>'ZSP NW'!F93</f>
        <v>300</v>
      </c>
      <c r="G32" s="70">
        <f t="shared" si="0"/>
        <v>1</v>
      </c>
      <c r="H32" s="43" t="e">
        <f>F32/#REF!</f>
        <v>#REF!</v>
      </c>
      <c r="I32" s="47"/>
      <c r="J32" s="47"/>
      <c r="K32" s="47"/>
      <c r="L32" s="47"/>
      <c r="M32" s="47"/>
      <c r="N32" s="47"/>
      <c r="O32" s="47"/>
      <c r="P32" s="47"/>
    </row>
    <row r="33" spans="1:16" ht="15.75" customHeight="1">
      <c r="A33" s="15"/>
      <c r="B33" s="27"/>
      <c r="C33" s="27">
        <f>'[1]Zbiorczo-paragr'!C280</f>
        <v>4430</v>
      </c>
      <c r="D33" s="57" t="str">
        <f>'ZSP NW'!D94</f>
        <v xml:space="preserve">Różne opłaty i składki                                  </v>
      </c>
      <c r="E33" s="50">
        <f>'ZSP NW'!E94</f>
        <v>750</v>
      </c>
      <c r="F33" s="50">
        <f>'ZSP NW'!F94</f>
        <v>750</v>
      </c>
      <c r="G33" s="70">
        <f t="shared" si="0"/>
        <v>1</v>
      </c>
      <c r="H33" s="43" t="e">
        <f>F33/#REF!</f>
        <v>#REF!</v>
      </c>
      <c r="I33" s="47"/>
      <c r="J33" s="47"/>
      <c r="K33" s="47"/>
      <c r="L33" s="47"/>
      <c r="M33" s="47"/>
      <c r="N33" s="47"/>
      <c r="O33" s="47"/>
      <c r="P33" s="47"/>
    </row>
    <row r="34" spans="1:16" ht="19.5" customHeight="1">
      <c r="A34" s="15"/>
      <c r="B34" s="27"/>
      <c r="C34" s="27"/>
      <c r="D34" s="57" t="str">
        <f>'ZSP NW'!D95</f>
        <v>ubezpieczenie rzeczowe</v>
      </c>
      <c r="E34" s="50">
        <f>'ZSP NW'!E95</f>
        <v>750</v>
      </c>
      <c r="F34" s="50">
        <f>'ZSP NW'!F95</f>
        <v>750</v>
      </c>
      <c r="G34" s="70">
        <f t="shared" si="0"/>
        <v>1</v>
      </c>
      <c r="H34" s="43" t="e">
        <f>F34/#REF!</f>
        <v>#REF!</v>
      </c>
      <c r="I34" s="47"/>
      <c r="J34" s="47"/>
      <c r="K34" s="47"/>
      <c r="L34" s="47"/>
      <c r="M34" s="47"/>
      <c r="N34" s="47"/>
      <c r="O34" s="47"/>
      <c r="P34" s="47"/>
    </row>
    <row r="35" spans="1:16" ht="47.25" customHeight="1">
      <c r="A35" s="15"/>
      <c r="B35" s="27"/>
      <c r="C35" s="27">
        <f>'[1]Zbiorczo-paragr'!C283</f>
        <v>4440</v>
      </c>
      <c r="D35" s="57" t="str">
        <f>'ZSP NW'!D96</f>
        <v>Odpisy na zakładowy fundusz świadczeń socjalnych - wydatki ponoszone zgodnie z przepisami ustawy o zakładowym funduszu świadczeń socjalnych i ustawy - Karta Nauczyciela</v>
      </c>
      <c r="E35" s="50">
        <f>'ZSP NW'!E96</f>
        <v>34361</v>
      </c>
      <c r="F35" s="50">
        <f>'ZSP NW'!F96</f>
        <v>31827</v>
      </c>
      <c r="G35" s="70">
        <f t="shared" si="0"/>
        <v>0.92625360146677915</v>
      </c>
      <c r="H35" s="43" t="e">
        <f>F35/#REF!</f>
        <v>#REF!</v>
      </c>
      <c r="I35" s="47"/>
      <c r="J35" s="47"/>
      <c r="K35" s="47"/>
      <c r="L35" s="47"/>
      <c r="M35" s="47"/>
      <c r="N35" s="47"/>
      <c r="O35" s="47"/>
      <c r="P35" s="47"/>
    </row>
    <row r="36" spans="1:16" ht="19.5" customHeight="1">
      <c r="A36" s="15"/>
      <c r="B36" s="27"/>
      <c r="C36" s="28">
        <f>'[1]Zbiorczo-paragr'!C286</f>
        <v>4700</v>
      </c>
      <c r="D36" s="57" t="str">
        <f>'ZSP NW'!D97</f>
        <v xml:space="preserve">Szkolenia pracowników niebędących członkami korpusu służby cywilnej                                  </v>
      </c>
      <c r="E36" s="50">
        <f>'ZSP NW'!E97</f>
        <v>0</v>
      </c>
      <c r="F36" s="50">
        <f>'ZSP NW'!F97</f>
        <v>500</v>
      </c>
      <c r="G36" s="70" t="e">
        <f t="shared" si="0"/>
        <v>#DIV/0!</v>
      </c>
      <c r="H36" s="43" t="e">
        <f>F36/#REF!</f>
        <v>#REF!</v>
      </c>
      <c r="I36" s="47"/>
      <c r="J36" s="47"/>
      <c r="K36" s="47"/>
      <c r="L36" s="47"/>
      <c r="M36" s="47"/>
      <c r="N36" s="47"/>
      <c r="O36" s="47"/>
      <c r="P36" s="47"/>
    </row>
    <row r="37" spans="1:16" ht="15.75" customHeight="1">
      <c r="A37" s="15"/>
      <c r="B37" s="27"/>
      <c r="C37" s="28"/>
      <c r="D37" s="57" t="str">
        <f>'ZSP NW'!D98</f>
        <v>szkolenia pracowników administracji</v>
      </c>
      <c r="E37" s="50">
        <f>'ZSP NW'!E98</f>
        <v>0</v>
      </c>
      <c r="F37" s="50">
        <f>'ZSP NW'!F98</f>
        <v>500</v>
      </c>
      <c r="G37" s="70" t="e">
        <f t="shared" si="0"/>
        <v>#DIV/0!</v>
      </c>
      <c r="H37" s="43" t="e">
        <f>F37/#REF!</f>
        <v>#REF!</v>
      </c>
      <c r="I37" s="47"/>
      <c r="J37" s="47"/>
      <c r="K37" s="47"/>
      <c r="L37" s="47"/>
      <c r="M37" s="47"/>
      <c r="N37" s="47"/>
      <c r="O37" s="47"/>
      <c r="P37" s="47"/>
    </row>
    <row r="38" spans="1:16" ht="15.75" customHeight="1">
      <c r="A38" s="186"/>
      <c r="B38" s="40"/>
      <c r="C38" s="153">
        <v>6060</v>
      </c>
      <c r="D38" s="187" t="str">
        <f>'ZSP NW'!D99</f>
        <v xml:space="preserve">Wydatki na zakupy inwestycyjne jednostek budżetowych    </v>
      </c>
      <c r="E38" s="50">
        <f>E39</f>
        <v>0</v>
      </c>
      <c r="F38" s="50">
        <f>F39</f>
        <v>0</v>
      </c>
      <c r="G38" s="70" t="e">
        <f t="shared" si="0"/>
        <v>#DIV/0!</v>
      </c>
      <c r="H38" s="43"/>
      <c r="I38" s="47"/>
      <c r="J38" s="47"/>
      <c r="K38" s="47"/>
      <c r="L38" s="47"/>
      <c r="M38" s="47"/>
      <c r="N38" s="47"/>
      <c r="O38" s="47"/>
      <c r="P38" s="47"/>
    </row>
    <row r="39" spans="1:16" ht="15.75" customHeight="1">
      <c r="A39" s="186"/>
      <c r="B39" s="40"/>
      <c r="C39" s="153"/>
      <c r="D39" s="187" t="str">
        <f>'ZSP NW'!D100</f>
        <v>zakup zmywarki do naczyń</v>
      </c>
      <c r="E39" s="50">
        <f>'ZSP NW'!E100</f>
        <v>0</v>
      </c>
      <c r="F39" s="50">
        <f>'ZSP NW'!F100</f>
        <v>0</v>
      </c>
      <c r="G39" s="70" t="e">
        <f t="shared" si="0"/>
        <v>#DIV/0!</v>
      </c>
      <c r="H39" s="43"/>
      <c r="I39" s="47"/>
      <c r="J39" s="47"/>
      <c r="K39" s="47"/>
      <c r="L39" s="47"/>
      <c r="M39" s="47"/>
      <c r="N39" s="47"/>
      <c r="O39" s="47"/>
      <c r="P39" s="47"/>
    </row>
    <row r="40" spans="1:16" ht="17.25" customHeight="1">
      <c r="A40" s="557" t="s">
        <v>66</v>
      </c>
      <c r="B40" s="558"/>
      <c r="C40" s="558"/>
      <c r="D40" s="559"/>
      <c r="E40" s="54">
        <f>'ZSP NW'!E101</f>
        <v>940168</v>
      </c>
      <c r="F40" s="54">
        <f>'ZSP NW'!F101</f>
        <v>1022027</v>
      </c>
      <c r="G40" s="71">
        <f t="shared" si="0"/>
        <v>1.0870684813777962</v>
      </c>
      <c r="H40" s="43" t="e">
        <f>F40/#REF!</f>
        <v>#REF!</v>
      </c>
      <c r="I40" s="47"/>
      <c r="J40" s="47"/>
      <c r="K40" s="47"/>
      <c r="L40" s="47"/>
      <c r="M40" s="47"/>
      <c r="N40" s="47"/>
      <c r="O40" s="47"/>
      <c r="P40" s="47"/>
    </row>
    <row r="41" spans="1:16" ht="15.75">
      <c r="A41" s="15">
        <f>'[1]Zbiorczo-paragr'!A444</f>
        <v>801</v>
      </c>
      <c r="B41" s="15">
        <f>'[1]Zbiorczo-paragr'!B444</f>
        <v>80146</v>
      </c>
      <c r="C41" s="15">
        <f>'[1]Zbiorczo-paragr'!C444</f>
        <v>3020</v>
      </c>
      <c r="D41" s="57" t="str">
        <f>'[1]Zbiorczo-paragr'!D444</f>
        <v xml:space="preserve">Wydatki osobowe niezaliczone do wynagrodzeń  </v>
      </c>
      <c r="E41" s="50">
        <f>E42</f>
        <v>0</v>
      </c>
      <c r="F41" s="50">
        <f>SUM(F42)</f>
        <v>2000</v>
      </c>
      <c r="G41" s="70" t="e">
        <f t="shared" si="0"/>
        <v>#DIV/0!</v>
      </c>
      <c r="H41" s="43" t="e">
        <f>F41/#REF!</f>
        <v>#REF!</v>
      </c>
      <c r="I41" s="47"/>
      <c r="J41" s="47"/>
      <c r="K41" s="47"/>
      <c r="L41" s="47"/>
      <c r="M41" s="47"/>
      <c r="N41" s="47"/>
      <c r="O41" s="47"/>
      <c r="P41" s="47"/>
    </row>
    <row r="42" spans="1:16" ht="32.25" customHeight="1">
      <c r="A42" s="15"/>
      <c r="B42" s="27"/>
      <c r="C42" s="27"/>
      <c r="D42" s="27" t="str">
        <f>'[1]Zbiorczo-paragr'!D447</f>
        <v>opłaty za kształcenie pobierane przez szkoły wyższe i zakłady kształcenia nauczycieli - przedszkole</v>
      </c>
      <c r="E42" s="50">
        <f>'ZSP NW'!E145</f>
        <v>0</v>
      </c>
      <c r="F42" s="50">
        <f>'ZSP NW'!F141</f>
        <v>2000</v>
      </c>
      <c r="G42" s="70" t="e">
        <f t="shared" si="0"/>
        <v>#DIV/0!</v>
      </c>
      <c r="H42" s="43" t="e">
        <f>F42/#REF!</f>
        <v>#REF!</v>
      </c>
      <c r="I42" s="47"/>
      <c r="J42" s="47"/>
      <c r="K42" s="47"/>
      <c r="L42" s="47"/>
      <c r="M42" s="47"/>
      <c r="N42" s="47"/>
      <c r="O42" s="47"/>
      <c r="P42" s="47"/>
    </row>
    <row r="43" spans="1:16" ht="18" hidden="1" customHeight="1">
      <c r="A43" s="15"/>
      <c r="B43" s="27"/>
      <c r="C43" s="27">
        <v>4410</v>
      </c>
      <c r="D43" s="27" t="str">
        <f>'[1]Zbiorczo-paragr'!D449</f>
        <v xml:space="preserve">Podróże służbowe krajowe                                </v>
      </c>
      <c r="E43" s="50">
        <f>'ZSP NW'!E146</f>
        <v>33025</v>
      </c>
      <c r="F43" s="50">
        <f>F44</f>
        <v>0</v>
      </c>
      <c r="G43" s="70">
        <f t="shared" si="0"/>
        <v>0</v>
      </c>
      <c r="H43" s="43"/>
      <c r="I43" s="47"/>
      <c r="J43" s="47"/>
      <c r="K43" s="47"/>
      <c r="L43" s="47"/>
      <c r="M43" s="47"/>
      <c r="N43" s="47"/>
      <c r="O43" s="47"/>
      <c r="P43" s="47"/>
    </row>
    <row r="44" spans="1:16" ht="17.25" hidden="1" customHeight="1">
      <c r="A44" s="15"/>
      <c r="B44" s="27"/>
      <c r="C44" s="27"/>
      <c r="D44" s="27" t="s">
        <v>617</v>
      </c>
      <c r="E44" s="50">
        <f>'ZSP NW'!E147</f>
        <v>25277</v>
      </c>
      <c r="F44" s="50">
        <v>0</v>
      </c>
      <c r="G44" s="70">
        <f t="shared" si="0"/>
        <v>0</v>
      </c>
      <c r="H44" s="43"/>
      <c r="I44" s="47"/>
      <c r="J44" s="47"/>
      <c r="K44" s="47"/>
      <c r="L44" s="47"/>
      <c r="M44" s="47"/>
      <c r="N44" s="47"/>
      <c r="O44" s="47"/>
      <c r="P44" s="47"/>
    </row>
    <row r="45" spans="1:16" ht="15" customHeight="1">
      <c r="A45" s="15">
        <v>801</v>
      </c>
      <c r="B45" s="15">
        <v>80146</v>
      </c>
      <c r="C45" s="27">
        <f>'[1]Zbiorczo-paragr'!C454</f>
        <v>4700</v>
      </c>
      <c r="D45" s="27" t="str">
        <f>'[1]Zbiorczo-paragr'!D454</f>
        <v>Szkolenie pracowników niebędących członkami korpusu służby cywilnej</v>
      </c>
      <c r="E45" s="50">
        <f>E46</f>
        <v>2950</v>
      </c>
      <c r="F45" s="50">
        <f>SUM(F46)</f>
        <v>591</v>
      </c>
      <c r="G45" s="23">
        <f t="shared" si="0"/>
        <v>0.20033898305084746</v>
      </c>
      <c r="H45" s="43" t="e">
        <f>F45/#REF!</f>
        <v>#REF!</v>
      </c>
      <c r="I45" s="47"/>
      <c r="J45" s="47"/>
      <c r="K45" s="47"/>
      <c r="L45" s="47"/>
      <c r="M45" s="47"/>
      <c r="N45" s="47"/>
      <c r="O45" s="47"/>
      <c r="P45" s="47"/>
    </row>
    <row r="46" spans="1:16" ht="20.25" customHeight="1">
      <c r="A46" s="15"/>
      <c r="B46" s="27"/>
      <c r="C46" s="27"/>
      <c r="D46" s="27" t="str">
        <f>'[1]Zbiorczo-paragr'!D457</f>
        <v>opłaty za szkolenia nauczycieli- przedszkole</v>
      </c>
      <c r="E46" s="50">
        <f>'ZSP NW'!E149</f>
        <v>2950</v>
      </c>
      <c r="F46" s="50">
        <f>'ZSP NW'!F149</f>
        <v>591</v>
      </c>
      <c r="G46" s="23">
        <f t="shared" si="0"/>
        <v>0.20033898305084746</v>
      </c>
      <c r="H46" s="43" t="e">
        <f>F46/#REF!</f>
        <v>#REF!</v>
      </c>
      <c r="I46" s="47"/>
      <c r="J46" s="47"/>
      <c r="K46" s="47"/>
      <c r="L46" s="47"/>
      <c r="M46" s="47"/>
      <c r="N46" s="47"/>
      <c r="O46" s="47"/>
      <c r="P46" s="47"/>
    </row>
    <row r="47" spans="1:16" ht="19.5" customHeight="1">
      <c r="A47" s="490" t="str">
        <f>'[1]Zbiorczo-paragr'!A459:D459</f>
        <v>80146 Dokształcanie i doskonalenie nauczycieli : Razem</v>
      </c>
      <c r="B47" s="491"/>
      <c r="C47" s="491"/>
      <c r="D47" s="492"/>
      <c r="E47" s="54">
        <f>E41+E45</f>
        <v>2950</v>
      </c>
      <c r="F47" s="54">
        <f>F41+F45</f>
        <v>2591</v>
      </c>
      <c r="G47" s="71">
        <f t="shared" si="0"/>
        <v>0.87830508474576274</v>
      </c>
      <c r="H47" s="43" t="e">
        <f>F47/#REF!</f>
        <v>#REF!</v>
      </c>
      <c r="I47" s="47"/>
      <c r="J47" s="47"/>
      <c r="K47" s="47"/>
      <c r="L47" s="47"/>
      <c r="M47" s="47"/>
      <c r="N47" s="47"/>
      <c r="O47" s="47"/>
      <c r="P47" s="47"/>
    </row>
    <row r="48" spans="1:16" ht="19.5" customHeight="1">
      <c r="A48" s="495">
        <v>801</v>
      </c>
      <c r="B48" s="515">
        <v>80149</v>
      </c>
      <c r="C48" s="15">
        <f>'[1]Zbiorczo-paragr'!C479</f>
        <v>3020</v>
      </c>
      <c r="D48" s="57" t="str">
        <f>'[1]Zbiorczo-paragr'!D479</f>
        <v xml:space="preserve">Wydatki osobowe niezaliczone do wynagrodzeń  </v>
      </c>
      <c r="E48" s="50">
        <f>E49</f>
        <v>1550</v>
      </c>
      <c r="F48" s="50">
        <f>F49</f>
        <v>0</v>
      </c>
      <c r="G48" s="70">
        <f t="shared" si="0"/>
        <v>0</v>
      </c>
      <c r="H48" s="43"/>
      <c r="I48" s="47"/>
      <c r="J48" s="47"/>
      <c r="K48" s="47"/>
      <c r="L48" s="47"/>
      <c r="M48" s="47"/>
      <c r="N48" s="47"/>
      <c r="O48" s="47"/>
      <c r="P48" s="47"/>
    </row>
    <row r="49" spans="1:16" ht="19.5" customHeight="1">
      <c r="A49" s="496"/>
      <c r="B49" s="517"/>
      <c r="C49" s="15"/>
      <c r="D49" s="57" t="str">
        <f>'[1]Zbiorczo-paragr'!D480</f>
        <v>dodatki wiejskie, mieszkaniowe - przedszkola gminne</v>
      </c>
      <c r="E49" s="50">
        <f>'ZSP NW'!E153</f>
        <v>1550</v>
      </c>
      <c r="F49" s="50">
        <f>'ZSP NW'!F153</f>
        <v>0</v>
      </c>
      <c r="G49" s="70">
        <f t="shared" si="0"/>
        <v>0</v>
      </c>
      <c r="H49" s="43"/>
      <c r="I49" s="47"/>
      <c r="J49" s="47"/>
      <c r="K49" s="47"/>
      <c r="L49" s="47"/>
      <c r="M49" s="47"/>
      <c r="N49" s="47"/>
      <c r="O49" s="47"/>
      <c r="P49" s="47"/>
    </row>
    <row r="50" spans="1:16" ht="19.5" customHeight="1">
      <c r="A50" s="496"/>
      <c r="B50" s="517"/>
      <c r="C50" s="15">
        <f>'[1]Zbiorczo-paragr'!C482</f>
        <v>4010</v>
      </c>
      <c r="D50" s="57" t="str">
        <f>'[1]Zbiorczo-paragr'!D482</f>
        <v xml:space="preserve">Wynagrodzenia osobowe pracowników                       </v>
      </c>
      <c r="E50" s="50">
        <f>E51</f>
        <v>11508</v>
      </c>
      <c r="F50" s="50">
        <f>F51</f>
        <v>0</v>
      </c>
      <c r="G50" s="70">
        <f t="shared" si="0"/>
        <v>0</v>
      </c>
      <c r="H50" s="43"/>
      <c r="I50" s="47"/>
      <c r="J50" s="47"/>
      <c r="K50" s="47"/>
      <c r="L50" s="47"/>
      <c r="M50" s="47"/>
      <c r="N50" s="47"/>
      <c r="O50" s="47"/>
      <c r="P50" s="47"/>
    </row>
    <row r="51" spans="1:16" ht="19.5" customHeight="1">
      <c r="A51" s="496"/>
      <c r="B51" s="517"/>
      <c r="C51" s="15"/>
      <c r="D51" s="57" t="str">
        <f>'[1]Zbiorczo-paragr'!D483</f>
        <v>wynagrodzenia osobowe pracowników- przedszkola gminne</v>
      </c>
      <c r="E51" s="50">
        <f>'ZSP NW'!E156</f>
        <v>11508</v>
      </c>
      <c r="F51" s="50">
        <f>'ZSP NW'!F156</f>
        <v>0</v>
      </c>
      <c r="G51" s="70">
        <f t="shared" si="0"/>
        <v>0</v>
      </c>
      <c r="H51" s="43"/>
      <c r="I51" s="47"/>
      <c r="J51" s="47"/>
      <c r="K51" s="47"/>
      <c r="L51" s="47"/>
      <c r="M51" s="47"/>
      <c r="N51" s="47"/>
      <c r="O51" s="47"/>
      <c r="P51" s="47"/>
    </row>
    <row r="52" spans="1:16" ht="19.5" customHeight="1">
      <c r="A52" s="496"/>
      <c r="B52" s="517"/>
      <c r="C52" s="15">
        <f>'[1]Zbiorczo-paragr'!C485</f>
        <v>4110</v>
      </c>
      <c r="D52" s="57" t="str">
        <f>'[1]Zbiorczo-paragr'!D485</f>
        <v xml:space="preserve">Składki na ubezpieczenia społeczne                      </v>
      </c>
      <c r="E52" s="50">
        <f>E53</f>
        <v>2245</v>
      </c>
      <c r="F52" s="50">
        <f>F53</f>
        <v>0</v>
      </c>
      <c r="G52" s="70">
        <f t="shared" si="0"/>
        <v>0</v>
      </c>
      <c r="H52" s="43"/>
      <c r="I52" s="47"/>
      <c r="J52" s="47"/>
      <c r="K52" s="47"/>
      <c r="L52" s="47"/>
      <c r="M52" s="47"/>
      <c r="N52" s="47"/>
      <c r="O52" s="47"/>
      <c r="P52" s="47"/>
    </row>
    <row r="53" spans="1:16" ht="19.5" customHeight="1">
      <c r="A53" s="496"/>
      <c r="B53" s="517"/>
      <c r="C53" s="15"/>
      <c r="D53" s="57" t="str">
        <f>'[1]Zbiorczo-paragr'!D486</f>
        <v xml:space="preserve">składki na ubezpieczenia społeczne- przedszkola gminne                     </v>
      </c>
      <c r="E53" s="50">
        <f>'ZSP NW'!E159</f>
        <v>2245</v>
      </c>
      <c r="F53" s="50">
        <f>'ZSP NW'!F159</f>
        <v>0</v>
      </c>
      <c r="G53" s="70">
        <f t="shared" si="0"/>
        <v>0</v>
      </c>
      <c r="H53" s="43"/>
      <c r="I53" s="47"/>
      <c r="J53" s="47"/>
      <c r="K53" s="47"/>
      <c r="L53" s="47"/>
      <c r="M53" s="47"/>
      <c r="N53" s="47"/>
      <c r="O53" s="47"/>
      <c r="P53" s="47"/>
    </row>
    <row r="54" spans="1:16" ht="19.5" customHeight="1">
      <c r="A54" s="496"/>
      <c r="B54" s="517"/>
      <c r="C54" s="15">
        <f>'[1]Zbiorczo-paragr'!C488</f>
        <v>4120</v>
      </c>
      <c r="D54" s="57" t="str">
        <f>'[1]Zbiorczo-paragr'!D488</f>
        <v xml:space="preserve">Składki na Fundusz Pracy                                </v>
      </c>
      <c r="E54" s="50">
        <f>E55</f>
        <v>320</v>
      </c>
      <c r="F54" s="50">
        <f>F55</f>
        <v>0</v>
      </c>
      <c r="G54" s="70">
        <f t="shared" si="0"/>
        <v>0</v>
      </c>
      <c r="H54" s="43"/>
      <c r="I54" s="47"/>
      <c r="J54" s="47"/>
      <c r="K54" s="47"/>
      <c r="L54" s="47"/>
      <c r="M54" s="47"/>
      <c r="N54" s="47"/>
      <c r="O54" s="47"/>
      <c r="P54" s="47"/>
    </row>
    <row r="55" spans="1:16" ht="19.5" customHeight="1">
      <c r="A55" s="496"/>
      <c r="B55" s="517"/>
      <c r="C55" s="15"/>
      <c r="D55" s="57" t="str">
        <f>'[1]Zbiorczo-paragr'!D489</f>
        <v xml:space="preserve">składki na Fundusz Pracy- przedszkola  gminne                              </v>
      </c>
      <c r="E55" s="50">
        <f>'ZSP NW'!E162</f>
        <v>320</v>
      </c>
      <c r="F55" s="50">
        <f>'ZSP NW'!F162</f>
        <v>0</v>
      </c>
      <c r="G55" s="70">
        <f t="shared" si="0"/>
        <v>0</v>
      </c>
      <c r="H55" s="43"/>
      <c r="I55" s="47"/>
      <c r="J55" s="47"/>
      <c r="K55" s="47"/>
      <c r="L55" s="47"/>
      <c r="M55" s="47"/>
      <c r="N55" s="47"/>
      <c r="O55" s="47"/>
      <c r="P55" s="47"/>
    </row>
    <row r="56" spans="1:16" ht="19.5" hidden="1" customHeight="1">
      <c r="A56" s="496"/>
      <c r="B56" s="517"/>
      <c r="C56" s="15">
        <f>'[1]Zbiorczo-paragr'!C491</f>
        <v>4210</v>
      </c>
      <c r="D56" s="57" t="str">
        <f>'[1]Zbiorczo-paragr'!D491</f>
        <v xml:space="preserve">Zakup materiałów i wyposażenia                          </v>
      </c>
      <c r="E56" s="50">
        <f>'ZSP NW'!E159</f>
        <v>2245</v>
      </c>
      <c r="F56" s="50">
        <f>F57</f>
        <v>0</v>
      </c>
      <c r="G56" s="70">
        <f t="shared" si="0"/>
        <v>0</v>
      </c>
      <c r="H56" s="43"/>
      <c r="I56" s="47"/>
      <c r="J56" s="47"/>
      <c r="K56" s="47"/>
      <c r="L56" s="47"/>
      <c r="M56" s="47"/>
      <c r="N56" s="47"/>
      <c r="O56" s="47"/>
      <c r="P56" s="47"/>
    </row>
    <row r="57" spans="1:16" ht="19.5" hidden="1" customHeight="1">
      <c r="A57" s="496"/>
      <c r="B57" s="517"/>
      <c r="C57" s="15"/>
      <c r="D57" s="57" t="str">
        <f>'[1]Zbiorczo-paragr'!D492</f>
        <v>zakup materiałów i wyposażenia - przedszkola gminne</v>
      </c>
      <c r="E57" s="50"/>
      <c r="F57" s="50"/>
      <c r="G57" s="70" t="e">
        <f t="shared" si="0"/>
        <v>#DIV/0!</v>
      </c>
      <c r="H57" s="43"/>
      <c r="I57" s="47"/>
      <c r="J57" s="47"/>
      <c r="K57" s="47"/>
      <c r="L57" s="47"/>
      <c r="M57" s="47"/>
      <c r="N57" s="47"/>
      <c r="O57" s="47"/>
      <c r="P57" s="47"/>
    </row>
    <row r="58" spans="1:16" ht="19.5" hidden="1" customHeight="1">
      <c r="A58" s="496"/>
      <c r="B58" s="517"/>
      <c r="C58" s="15">
        <f>'[1]Zbiorczo-paragr'!C493</f>
        <v>4240</v>
      </c>
      <c r="D58" s="57" t="str">
        <f>'[1]Zbiorczo-paragr'!D493</f>
        <v xml:space="preserve">Zakup pomocy naukowych, dydaktycznych i książek         </v>
      </c>
      <c r="E58" s="50">
        <f>E59</f>
        <v>0</v>
      </c>
      <c r="F58" s="50">
        <f>F59</f>
        <v>0</v>
      </c>
      <c r="G58" s="70" t="e">
        <f t="shared" si="0"/>
        <v>#DIV/0!</v>
      </c>
      <c r="H58" s="43"/>
      <c r="I58" s="47"/>
      <c r="J58" s="47"/>
      <c r="K58" s="47"/>
      <c r="L58" s="47"/>
      <c r="M58" s="47"/>
      <c r="N58" s="47"/>
      <c r="O58" s="47"/>
      <c r="P58" s="47"/>
    </row>
    <row r="59" spans="1:16" ht="19.5" hidden="1" customHeight="1">
      <c r="A59" s="496"/>
      <c r="B59" s="517"/>
      <c r="C59" s="15"/>
      <c r="D59" s="57" t="str">
        <f>'[1]Zbiorczo-paragr'!D494</f>
        <v>zakup pomocy naukowch , dydaktycznych i książek - przedszkola gminne</v>
      </c>
      <c r="E59" s="50"/>
      <c r="F59" s="50"/>
      <c r="G59" s="70" t="e">
        <f t="shared" si="0"/>
        <v>#DIV/0!</v>
      </c>
      <c r="H59" s="43"/>
      <c r="I59" s="47"/>
      <c r="J59" s="47"/>
      <c r="K59" s="47"/>
      <c r="L59" s="47"/>
      <c r="M59" s="47"/>
      <c r="N59" s="47"/>
      <c r="O59" s="47"/>
      <c r="P59" s="47"/>
    </row>
    <row r="60" spans="1:16" ht="19.5" hidden="1" customHeight="1">
      <c r="A60" s="496"/>
      <c r="B60" s="517"/>
      <c r="C60" s="15">
        <f>'[1]Zbiorczo-paragr'!C495</f>
        <v>4300</v>
      </c>
      <c r="D60" s="57" t="str">
        <f>'[1]Zbiorczo-paragr'!D495</f>
        <v xml:space="preserve">Zakup usług pozostałych                                 </v>
      </c>
      <c r="E60" s="50">
        <f>E61</f>
        <v>0</v>
      </c>
      <c r="F60" s="50">
        <f>F61</f>
        <v>0</v>
      </c>
      <c r="G60" s="70" t="e">
        <f t="shared" si="0"/>
        <v>#DIV/0!</v>
      </c>
      <c r="H60" s="43"/>
      <c r="I60" s="47"/>
      <c r="J60" s="47"/>
      <c r="K60" s="47"/>
      <c r="L60" s="47"/>
      <c r="M60" s="47"/>
      <c r="N60" s="47"/>
      <c r="O60" s="47"/>
      <c r="P60" s="47"/>
    </row>
    <row r="61" spans="1:16" ht="19.5" hidden="1" customHeight="1">
      <c r="A61" s="496"/>
      <c r="B61" s="517"/>
      <c r="C61" s="93"/>
      <c r="D61" s="150" t="str">
        <f>'[1]Zbiorczo-paragr'!D496</f>
        <v>usługi związane z niepełnosprawnością - przedszkola gminne</v>
      </c>
      <c r="E61" s="50">
        <f>'ZSP NW'!E164</f>
        <v>0</v>
      </c>
      <c r="F61" s="50">
        <f>'ZSP NW'!F164</f>
        <v>0</v>
      </c>
      <c r="G61" s="70" t="e">
        <f t="shared" si="0"/>
        <v>#DIV/0!</v>
      </c>
      <c r="H61" s="43"/>
      <c r="I61" s="47"/>
      <c r="J61" s="47"/>
      <c r="K61" s="47"/>
      <c r="L61" s="47"/>
      <c r="M61" s="47"/>
      <c r="N61" s="47"/>
      <c r="O61" s="47"/>
      <c r="P61" s="47"/>
    </row>
    <row r="62" spans="1:16" ht="39" customHeight="1">
      <c r="A62" s="560" t="str">
        <f>'[1]Zbiorczo-paragr'!A497:D497</f>
        <v>80149 Realizacja zadń wymagających stosowania specjalnej organizacji nauki i metod pracy dla dzieci w przedszkolach, oddziałach przedszkolnych w szkołach podstawowych i innych formach wychowania przedszkolnego : Razem</v>
      </c>
      <c r="B62" s="561"/>
      <c r="C62" s="561"/>
      <c r="D62" s="562"/>
      <c r="E62" s="54">
        <f>E48+E50+E52+E54+E60</f>
        <v>15623</v>
      </c>
      <c r="F62" s="54">
        <f>F48+F50+F52+F54+F60</f>
        <v>0</v>
      </c>
      <c r="G62" s="71">
        <f t="shared" si="0"/>
        <v>0</v>
      </c>
      <c r="H62" s="43"/>
      <c r="I62" s="47"/>
      <c r="J62" s="47"/>
      <c r="K62" s="47"/>
      <c r="L62" s="47"/>
      <c r="M62" s="47"/>
      <c r="N62" s="47"/>
      <c r="O62" s="47"/>
      <c r="P62" s="47"/>
    </row>
    <row r="63" spans="1:16" ht="18.75" customHeight="1">
      <c r="A63" s="519" t="str">
        <f>'[1]Zbiorczo-paragr'!A517:D517</f>
        <v xml:space="preserve">801 Oświata i wychowanie - Razem                                    </v>
      </c>
      <c r="B63" s="520"/>
      <c r="C63" s="520"/>
      <c r="D63" s="520"/>
      <c r="E63" s="54">
        <f>E40+E47+E62</f>
        <v>958741</v>
      </c>
      <c r="F63" s="54">
        <f>F40+F47+F62</f>
        <v>1024618</v>
      </c>
      <c r="G63" s="71">
        <f t="shared" si="0"/>
        <v>1.0687119879091433</v>
      </c>
      <c r="H63" s="43" t="e">
        <f>F63/#REF!</f>
        <v>#REF!</v>
      </c>
      <c r="I63" s="56"/>
      <c r="J63" s="47"/>
      <c r="K63" s="47"/>
      <c r="L63" s="47"/>
      <c r="M63" s="47"/>
      <c r="N63" s="47"/>
      <c r="O63" s="47"/>
      <c r="P63" s="47"/>
    </row>
    <row r="64" spans="1:16" ht="16.5" customHeight="1">
      <c r="A64" s="563" t="str">
        <f>'[1]Zbiorczo-paragr'!A617:D617</f>
        <v xml:space="preserve"> Wydatki ogółem:</v>
      </c>
      <c r="B64" s="564"/>
      <c r="C64" s="564"/>
      <c r="D64" s="565"/>
      <c r="E64" s="59">
        <f>E63</f>
        <v>958741</v>
      </c>
      <c r="F64" s="59">
        <f>F63</f>
        <v>1024618</v>
      </c>
      <c r="G64" s="73">
        <f t="shared" si="0"/>
        <v>1.0687119879091433</v>
      </c>
      <c r="H64" s="43" t="e">
        <f>F64/#REF!</f>
        <v>#REF!</v>
      </c>
      <c r="I64" s="56"/>
      <c r="J64" s="47"/>
      <c r="K64" s="47"/>
      <c r="L64" s="47"/>
      <c r="M64" s="47"/>
      <c r="N64" s="47"/>
      <c r="O64" s="47"/>
      <c r="P64" s="47"/>
    </row>
    <row r="65" spans="1:16" ht="15.75" customHeight="1">
      <c r="A65" s="566"/>
      <c r="B65" s="567"/>
      <c r="C65" s="567"/>
      <c r="D65" s="185"/>
      <c r="E65" s="182"/>
      <c r="F65" s="182"/>
    </row>
    <row r="66" spans="1:16">
      <c r="F66" s="72"/>
    </row>
    <row r="67" spans="1:16" hidden="1">
      <c r="A67" s="568"/>
      <c r="B67" s="569"/>
      <c r="C67" s="569"/>
      <c r="D67" s="569"/>
      <c r="E67" s="569"/>
      <c r="F67" s="570"/>
      <c r="G67" s="570"/>
    </row>
    <row r="68" spans="1:16" hidden="1">
      <c r="A68" s="556"/>
      <c r="B68" s="556"/>
      <c r="C68" s="556"/>
      <c r="D68" s="556"/>
      <c r="E68" s="183"/>
      <c r="F68" s="184"/>
      <c r="G68" s="184"/>
    </row>
    <row r="69" spans="1:16" hidden="1">
      <c r="A69" s="1"/>
      <c r="B69" s="1"/>
      <c r="C69" s="1"/>
      <c r="D69" s="1"/>
      <c r="E69" s="183"/>
      <c r="F69" s="184"/>
      <c r="G69" s="184"/>
    </row>
    <row r="70" spans="1:16" ht="15.75" hidden="1" customHeight="1">
      <c r="A70" s="556"/>
      <c r="B70" s="556"/>
      <c r="C70" s="556"/>
      <c r="D70" s="556"/>
      <c r="E70" s="556"/>
      <c r="F70" s="556"/>
      <c r="G70" s="556"/>
      <c r="H70" s="47"/>
      <c r="I70" s="47"/>
      <c r="J70" s="47"/>
      <c r="K70" s="47"/>
      <c r="L70" s="47"/>
      <c r="M70" s="47"/>
      <c r="N70" s="47"/>
      <c r="O70" s="47"/>
      <c r="P70" s="47"/>
    </row>
    <row r="71" spans="1:16" hidden="1">
      <c r="A71" s="483"/>
      <c r="B71" s="483"/>
      <c r="E71" s="72"/>
      <c r="I71" s="72"/>
    </row>
    <row r="72" spans="1:16" hidden="1">
      <c r="A72" s="483"/>
      <c r="B72" s="483"/>
      <c r="E72" s="72"/>
    </row>
    <row r="73" spans="1:16" hidden="1">
      <c r="A73" s="483"/>
      <c r="B73" s="483"/>
      <c r="E73" s="72"/>
    </row>
    <row r="74" spans="1:16" hidden="1">
      <c r="A74" s="483"/>
      <c r="B74" s="483"/>
      <c r="E74" s="72"/>
    </row>
    <row r="75" spans="1:16" hidden="1">
      <c r="A75" s="483"/>
      <c r="B75" s="483"/>
      <c r="D75" s="62"/>
      <c r="E75" s="74"/>
    </row>
    <row r="76" spans="1:16" hidden="1">
      <c r="E76" s="72"/>
    </row>
    <row r="77" spans="1:16">
      <c r="E77" s="72"/>
      <c r="F77" s="72"/>
    </row>
    <row r="78" spans="1:16">
      <c r="F78" s="72"/>
    </row>
  </sheetData>
  <mergeCells count="17">
    <mergeCell ref="A71:B71"/>
    <mergeCell ref="A72:B72"/>
    <mergeCell ref="A73:B73"/>
    <mergeCell ref="A74:B74"/>
    <mergeCell ref="A75:B75"/>
    <mergeCell ref="A63:D63"/>
    <mergeCell ref="A64:D64"/>
    <mergeCell ref="A65:C65"/>
    <mergeCell ref="A67:G67"/>
    <mergeCell ref="A68:D68"/>
    <mergeCell ref="A70:G70"/>
    <mergeCell ref="A1:G1"/>
    <mergeCell ref="A40:D40"/>
    <mergeCell ref="A47:D47"/>
    <mergeCell ref="A48:A61"/>
    <mergeCell ref="B48:B61"/>
    <mergeCell ref="A62:D62"/>
  </mergeCells>
  <pageMargins left="0.7" right="0.7" top="0.75" bottom="0.75" header="0.3" footer="0.3"/>
  <pageSetup paperSize="9" scale="75" orientation="portrait" r:id="rId1"/>
  <rowBreaks count="1" manualBreakCount="1">
    <brk id="47" max="16383" man="1"/>
  </rowBreaks>
</worksheet>
</file>

<file path=xl/worksheets/sheet4.xml><?xml version="1.0" encoding="utf-8"?>
<worksheet xmlns="http://schemas.openxmlformats.org/spreadsheetml/2006/main" xmlns:r="http://schemas.openxmlformats.org/officeDocument/2006/relationships">
  <dimension ref="A1:Q87"/>
  <sheetViews>
    <sheetView zoomScaleNormal="100" zoomScaleSheetLayoutView="100" workbookViewId="0">
      <selection activeCell="A68" sqref="A1:H68"/>
    </sheetView>
  </sheetViews>
  <sheetFormatPr defaultRowHeight="15" customHeight="1"/>
  <cols>
    <col min="1" max="1" width="4.140625" style="52" customWidth="1"/>
    <col min="2" max="2" width="6.7109375" style="52" customWidth="1"/>
    <col min="3" max="3" width="6.140625" style="52" customWidth="1"/>
    <col min="4" max="4" width="68" style="52" customWidth="1"/>
    <col min="5" max="5" width="12.85546875" style="52" hidden="1" customWidth="1"/>
    <col min="6" max="6" width="13.42578125" style="52" customWidth="1"/>
    <col min="7" max="7" width="11.140625" style="52" customWidth="1"/>
    <col min="8" max="8" width="8.85546875" style="52" customWidth="1"/>
    <col min="9" max="9" width="10.85546875" style="52" hidden="1" customWidth="1"/>
    <col min="10" max="16384" width="9.140625" style="52"/>
  </cols>
  <sheetData>
    <row r="1" spans="1:17" s="48" customFormat="1" ht="28.5" customHeight="1">
      <c r="A1" s="526" t="s">
        <v>716</v>
      </c>
      <c r="B1" s="526"/>
      <c r="C1" s="526"/>
      <c r="D1" s="526"/>
      <c r="E1" s="526"/>
      <c r="F1" s="526"/>
      <c r="G1" s="526"/>
      <c r="H1" s="526"/>
      <c r="I1" s="47"/>
      <c r="J1" s="47"/>
      <c r="K1" s="47"/>
      <c r="L1" s="47"/>
      <c r="M1" s="47"/>
      <c r="N1" s="47"/>
      <c r="O1" s="47"/>
      <c r="P1" s="47"/>
      <c r="Q1" s="47"/>
    </row>
    <row r="2" spans="1:17" s="48" customFormat="1" ht="50.25" customHeight="1">
      <c r="A2" s="15" t="str">
        <f>'Zbiorczo-paragr'!A2</f>
        <v>Dz</v>
      </c>
      <c r="B2" s="15" t="str">
        <f>'Zbiorczo-paragr'!B2</f>
        <v>Rozdz</v>
      </c>
      <c r="C2" s="15" t="str">
        <f>'Zbiorczo-paragr'!C2</f>
        <v>§</v>
      </c>
      <c r="D2" s="15" t="str">
        <f>'Zbiorczo-paragr'!D2</f>
        <v>Zadanie</v>
      </c>
      <c r="E2" s="16" t="s">
        <v>199</v>
      </c>
      <c r="F2" s="16" t="s">
        <v>687</v>
      </c>
      <c r="G2" s="16" t="s">
        <v>688</v>
      </c>
      <c r="H2" s="16" t="s">
        <v>331</v>
      </c>
      <c r="I2" s="16" t="s">
        <v>384</v>
      </c>
      <c r="J2" s="47"/>
      <c r="K2" s="47"/>
      <c r="L2" s="47"/>
      <c r="M2" s="47"/>
      <c r="N2" s="47"/>
      <c r="O2" s="47"/>
      <c r="P2" s="47"/>
      <c r="Q2" s="47"/>
    </row>
    <row r="3" spans="1:17" ht="15" customHeight="1">
      <c r="A3" s="15">
        <f>'Zbiorczo-paragr'!A223</f>
        <v>801</v>
      </c>
      <c r="B3" s="15">
        <f>'Zbiorczo-paragr'!B223</f>
        <v>80104</v>
      </c>
      <c r="C3" s="15">
        <f>'Zbiorczo-paragr'!C223</f>
        <v>3020</v>
      </c>
      <c r="D3" s="57" t="str">
        <f>'Zbiorczo-paragr'!D223</f>
        <v xml:space="preserve">Nagrody i wydatki  osobowe nie zaliczone do wynagrodzeń  </v>
      </c>
      <c r="E3" s="50">
        <f>SUM(E4)</f>
        <v>67000</v>
      </c>
      <c r="F3" s="50">
        <f>SUM(F4:F5)</f>
        <v>126450</v>
      </c>
      <c r="G3" s="50">
        <f>SUM(G4:G5)</f>
        <v>85200</v>
      </c>
      <c r="H3" s="23">
        <f t="shared" ref="H3:H48" si="0">SUM(G3/F3)</f>
        <v>0.67378410438908665</v>
      </c>
      <c r="I3" s="23">
        <f>G3/E3</f>
        <v>1.2716417910447761</v>
      </c>
      <c r="J3" s="47"/>
      <c r="K3" s="47"/>
      <c r="L3" s="47"/>
      <c r="M3" s="47"/>
      <c r="N3" s="47"/>
      <c r="O3" s="47"/>
      <c r="P3" s="47"/>
      <c r="Q3" s="47"/>
    </row>
    <row r="4" spans="1:17" ht="15.75" customHeight="1">
      <c r="A4" s="15"/>
      <c r="B4" s="27"/>
      <c r="C4" s="27"/>
      <c r="D4" s="29" t="s">
        <v>814</v>
      </c>
      <c r="E4" s="50">
        <f>68500-1500</f>
        <v>67000</v>
      </c>
      <c r="F4" s="50">
        <f>126450-F5</f>
        <v>115950</v>
      </c>
      <c r="G4" s="50">
        <f>81000-G52</f>
        <v>79000</v>
      </c>
      <c r="H4" s="23">
        <f t="shared" si="0"/>
        <v>0.68132815868909014</v>
      </c>
      <c r="I4" s="23">
        <f t="shared" ref="I4:I68" si="1">G4/E4</f>
        <v>1.1791044776119404</v>
      </c>
      <c r="J4" s="47"/>
      <c r="K4" s="56"/>
      <c r="L4" s="47"/>
      <c r="M4" s="47"/>
      <c r="N4" s="47"/>
      <c r="O4" s="47"/>
      <c r="P4" s="47"/>
      <c r="Q4" s="47"/>
    </row>
    <row r="5" spans="1:17" ht="18.75" customHeight="1">
      <c r="A5" s="15"/>
      <c r="B5" s="27"/>
      <c r="C5" s="27"/>
      <c r="D5" s="29" t="s">
        <v>613</v>
      </c>
      <c r="E5" s="50"/>
      <c r="F5" s="50">
        <v>10500</v>
      </c>
      <c r="G5" s="50">
        <v>6200</v>
      </c>
      <c r="H5" s="23">
        <f t="shared" si="0"/>
        <v>0.59047619047619049</v>
      </c>
      <c r="I5" s="23"/>
      <c r="J5" s="47"/>
      <c r="K5" s="47"/>
      <c r="L5" s="47"/>
      <c r="M5" s="47"/>
      <c r="N5" s="47"/>
      <c r="O5" s="47"/>
      <c r="P5" s="47"/>
      <c r="Q5" s="47"/>
    </row>
    <row r="6" spans="1:17" ht="18.75" customHeight="1">
      <c r="A6" s="15"/>
      <c r="B6" s="27"/>
      <c r="C6" s="27">
        <f>'Zbiorczo-paragr'!C226</f>
        <v>4010</v>
      </c>
      <c r="D6" s="27" t="str">
        <f>'Zbiorczo-paragr'!D226</f>
        <v xml:space="preserve">Wynagrodzenia osobowe pracowników                       </v>
      </c>
      <c r="E6" s="50">
        <f>SUM(E7)</f>
        <v>897000</v>
      </c>
      <c r="F6" s="50">
        <f>SUM(F7:F9)</f>
        <v>1609260</v>
      </c>
      <c r="G6" s="50">
        <f>SUM(G7:G9)</f>
        <v>1856000</v>
      </c>
      <c r="H6" s="23">
        <f t="shared" si="0"/>
        <v>1.1533251308054633</v>
      </c>
      <c r="I6" s="23">
        <f t="shared" si="1"/>
        <v>2.069119286510591</v>
      </c>
      <c r="J6" s="47"/>
      <c r="K6" s="56"/>
      <c r="L6" s="47"/>
      <c r="M6" s="47"/>
      <c r="N6" s="47"/>
      <c r="O6" s="47"/>
      <c r="P6" s="47"/>
      <c r="Q6" s="47"/>
    </row>
    <row r="7" spans="1:17" ht="30.75" customHeight="1">
      <c r="A7" s="15"/>
      <c r="B7" s="27"/>
      <c r="C7" s="27"/>
      <c r="D7" s="60" t="s">
        <v>815</v>
      </c>
      <c r="E7" s="53">
        <f>907000-10000</f>
        <v>897000</v>
      </c>
      <c r="F7" s="53">
        <f>1609260-F9</f>
        <v>1586660</v>
      </c>
      <c r="G7" s="53">
        <f>1880000-G9-G54</f>
        <v>1849800</v>
      </c>
      <c r="H7" s="23">
        <f t="shared" si="0"/>
        <v>1.165845234643843</v>
      </c>
      <c r="I7" s="23">
        <f t="shared" si="1"/>
        <v>2.0622073578595317</v>
      </c>
      <c r="J7" s="47"/>
      <c r="K7" s="47"/>
      <c r="L7" s="47"/>
      <c r="M7" s="47"/>
      <c r="N7" s="47"/>
      <c r="O7" s="47"/>
      <c r="P7" s="47"/>
      <c r="Q7" s="47"/>
    </row>
    <row r="8" spans="1:17" ht="15.75" hidden="1" customHeight="1">
      <c r="A8" s="15"/>
      <c r="B8" s="27"/>
      <c r="C8" s="27"/>
      <c r="D8" s="60" t="s">
        <v>535</v>
      </c>
      <c r="E8" s="53"/>
      <c r="F8" s="53">
        <v>0</v>
      </c>
      <c r="G8" s="53">
        <v>0</v>
      </c>
      <c r="H8" s="23" t="e">
        <f t="shared" si="0"/>
        <v>#DIV/0!</v>
      </c>
      <c r="I8" s="23"/>
      <c r="J8" s="47"/>
      <c r="K8" s="47"/>
      <c r="L8" s="47"/>
      <c r="M8" s="47"/>
      <c r="N8" s="47"/>
      <c r="O8" s="47"/>
      <c r="P8" s="47"/>
      <c r="Q8" s="47"/>
    </row>
    <row r="9" spans="1:17" ht="18.75" customHeight="1">
      <c r="A9" s="15"/>
      <c r="B9" s="27"/>
      <c r="C9" s="27"/>
      <c r="D9" s="60" t="s">
        <v>450</v>
      </c>
      <c r="E9" s="53"/>
      <c r="F9" s="53">
        <v>22600</v>
      </c>
      <c r="G9" s="53">
        <f>200+6000</f>
        <v>6200</v>
      </c>
      <c r="H9" s="23">
        <f t="shared" si="0"/>
        <v>0.27433628318584069</v>
      </c>
      <c r="I9" s="23"/>
      <c r="J9" s="47"/>
      <c r="K9" s="47"/>
      <c r="L9" s="47"/>
      <c r="M9" s="47"/>
      <c r="N9" s="47"/>
      <c r="O9" s="47"/>
      <c r="P9" s="47"/>
      <c r="Q9" s="47"/>
    </row>
    <row r="10" spans="1:17" ht="48" customHeight="1">
      <c r="A10" s="15"/>
      <c r="B10" s="27"/>
      <c r="C10" s="27">
        <f>'Zbiorczo-paragr'!C231</f>
        <v>4040</v>
      </c>
      <c r="D10" s="27" t="s">
        <v>227</v>
      </c>
      <c r="E10" s="53">
        <f>72000-5330</f>
        <v>66670</v>
      </c>
      <c r="F10" s="53">
        <v>116000</v>
      </c>
      <c r="G10" s="53">
        <v>134000</v>
      </c>
      <c r="H10" s="23">
        <f t="shared" si="0"/>
        <v>1.1551724137931034</v>
      </c>
      <c r="I10" s="23">
        <f t="shared" si="1"/>
        <v>2.0098995050247486</v>
      </c>
      <c r="J10" s="47"/>
      <c r="K10" s="47"/>
      <c r="L10" s="47"/>
      <c r="M10" s="47"/>
      <c r="N10" s="47"/>
      <c r="O10" s="47"/>
      <c r="P10" s="47"/>
      <c r="Q10" s="47"/>
    </row>
    <row r="11" spans="1:17" ht="15" customHeight="1">
      <c r="A11" s="15"/>
      <c r="B11" s="27"/>
      <c r="C11" s="27">
        <f>'Zbiorczo-paragr'!C234</f>
        <v>4110</v>
      </c>
      <c r="D11" s="27" t="str">
        <f>'Zbiorczo-paragr'!D234</f>
        <v xml:space="preserve">Składki na ubezpieczenia społeczne                      </v>
      </c>
      <c r="E11" s="53">
        <f>162000+9000</f>
        <v>171000</v>
      </c>
      <c r="F11" s="53">
        <v>327640</v>
      </c>
      <c r="G11" s="53">
        <f>380000-G56</f>
        <v>375500</v>
      </c>
      <c r="H11" s="23">
        <f t="shared" si="0"/>
        <v>1.146074960322305</v>
      </c>
      <c r="I11" s="23">
        <f t="shared" si="1"/>
        <v>2.1959064327485378</v>
      </c>
      <c r="J11" s="47"/>
      <c r="K11" s="47"/>
      <c r="L11" s="47"/>
      <c r="M11" s="47"/>
      <c r="N11" s="47"/>
      <c r="O11" s="47"/>
      <c r="P11" s="47"/>
      <c r="Q11" s="47"/>
    </row>
    <row r="12" spans="1:17" ht="15.75" customHeight="1">
      <c r="A12" s="15"/>
      <c r="B12" s="27"/>
      <c r="C12" s="27">
        <f>'Zbiorczo-paragr'!C237</f>
        <v>4120</v>
      </c>
      <c r="D12" s="27" t="str">
        <f>'Zbiorczo-paragr'!D237</f>
        <v xml:space="preserve">Składki na Fundusz Pracy                                </v>
      </c>
      <c r="E12" s="53">
        <f>25400-1000</f>
        <v>24400</v>
      </c>
      <c r="F12" s="53">
        <v>42130</v>
      </c>
      <c r="G12" s="53">
        <f>49000-G58</f>
        <v>48350</v>
      </c>
      <c r="H12" s="23">
        <f t="shared" si="0"/>
        <v>1.1476382625207691</v>
      </c>
      <c r="I12" s="23">
        <f t="shared" si="1"/>
        <v>1.9815573770491803</v>
      </c>
      <c r="J12" s="47"/>
      <c r="K12" s="47"/>
      <c r="L12" s="47"/>
      <c r="M12" s="47"/>
      <c r="N12" s="47"/>
      <c r="O12" s="47"/>
      <c r="P12" s="47"/>
      <c r="Q12" s="47"/>
    </row>
    <row r="13" spans="1:17" ht="18" hidden="1" customHeight="1">
      <c r="A13" s="15"/>
      <c r="B13" s="27"/>
      <c r="C13" s="27">
        <f>'Zbiorczo-paragr'!C240</f>
        <v>4140</v>
      </c>
      <c r="D13" s="27" t="str">
        <f>'Zbiorczo-paragr'!D240</f>
        <v>Wpłaty na PFRON</v>
      </c>
      <c r="E13" s="53">
        <v>12600</v>
      </c>
      <c r="F13" s="53">
        <v>0</v>
      </c>
      <c r="G13" s="53">
        <v>0</v>
      </c>
      <c r="H13" s="23" t="e">
        <f t="shared" si="0"/>
        <v>#DIV/0!</v>
      </c>
      <c r="I13" s="23">
        <f t="shared" si="1"/>
        <v>0</v>
      </c>
      <c r="J13" s="47"/>
      <c r="K13" s="56"/>
      <c r="L13" s="47"/>
      <c r="M13" s="47"/>
      <c r="N13" s="47"/>
      <c r="O13" s="47"/>
      <c r="P13" s="47"/>
      <c r="Q13" s="47"/>
    </row>
    <row r="14" spans="1:17" ht="15.75" hidden="1" customHeight="1">
      <c r="A14" s="15"/>
      <c r="B14" s="27"/>
      <c r="C14" s="27">
        <f>'Zbiorczo-paragr'!C242</f>
        <v>4170</v>
      </c>
      <c r="D14" s="27" t="str">
        <f>'Zbiorczo-paragr'!D242</f>
        <v>Wynagrodzenia bezosobowe</v>
      </c>
      <c r="E14" s="53">
        <f>SUM(E15)</f>
        <v>4000</v>
      </c>
      <c r="F14" s="53">
        <f>SUM(F15)</f>
        <v>0</v>
      </c>
      <c r="G14" s="53">
        <f>SUM(G15)</f>
        <v>0</v>
      </c>
      <c r="H14" s="23" t="e">
        <f t="shared" si="0"/>
        <v>#DIV/0!</v>
      </c>
      <c r="I14" s="23">
        <f t="shared" si="1"/>
        <v>0</v>
      </c>
      <c r="J14" s="47"/>
      <c r="K14" s="47"/>
      <c r="L14" s="47"/>
      <c r="M14" s="47"/>
      <c r="N14" s="47"/>
      <c r="O14" s="47"/>
      <c r="P14" s="47"/>
      <c r="Q14" s="47"/>
    </row>
    <row r="15" spans="1:17" ht="14.25" hidden="1" customHeight="1">
      <c r="A15" s="15"/>
      <c r="B15" s="27"/>
      <c r="C15" s="27"/>
      <c r="D15" s="21" t="s">
        <v>9</v>
      </c>
      <c r="E15" s="53">
        <v>4000</v>
      </c>
      <c r="F15" s="53">
        <v>0</v>
      </c>
      <c r="G15" s="53">
        <v>0</v>
      </c>
      <c r="H15" s="23" t="e">
        <f t="shared" si="0"/>
        <v>#DIV/0!</v>
      </c>
      <c r="I15" s="23">
        <f t="shared" si="1"/>
        <v>0</v>
      </c>
      <c r="J15" s="47"/>
      <c r="K15" s="47"/>
      <c r="L15" s="47"/>
      <c r="M15" s="47"/>
      <c r="N15" s="47"/>
      <c r="O15" s="47"/>
      <c r="P15" s="47"/>
      <c r="Q15" s="47"/>
    </row>
    <row r="16" spans="1:17" ht="16.5" customHeight="1">
      <c r="A16" s="15"/>
      <c r="B16" s="27"/>
      <c r="C16" s="27">
        <v>4190</v>
      </c>
      <c r="D16" s="21" t="str">
        <f>'Zbiorczo-paragr'!D245</f>
        <v>Nagrody konkursowe</v>
      </c>
      <c r="E16" s="53"/>
      <c r="F16" s="53">
        <f>F17</f>
        <v>1500</v>
      </c>
      <c r="G16" s="53">
        <f>G17</f>
        <v>1600</v>
      </c>
      <c r="H16" s="23">
        <f t="shared" si="0"/>
        <v>1.0666666666666667</v>
      </c>
      <c r="I16" s="23"/>
      <c r="J16" s="47"/>
      <c r="K16" s="47"/>
      <c r="L16" s="47"/>
      <c r="M16" s="47"/>
      <c r="N16" s="47"/>
      <c r="O16" s="47"/>
      <c r="P16" s="47"/>
      <c r="Q16" s="47"/>
    </row>
    <row r="17" spans="1:17" ht="18.75" customHeight="1">
      <c r="A17" s="15"/>
      <c r="B17" s="27"/>
      <c r="C17" s="27"/>
      <c r="D17" s="21" t="s">
        <v>185</v>
      </c>
      <c r="E17" s="53"/>
      <c r="F17" s="53">
        <v>1500</v>
      </c>
      <c r="G17" s="53">
        <v>1600</v>
      </c>
      <c r="H17" s="23">
        <f t="shared" si="0"/>
        <v>1.0666666666666667</v>
      </c>
      <c r="I17" s="23"/>
      <c r="J17" s="47"/>
      <c r="K17" s="47"/>
      <c r="L17" s="47"/>
      <c r="M17" s="47"/>
      <c r="N17" s="47"/>
      <c r="O17" s="47"/>
      <c r="P17" s="47"/>
      <c r="Q17" s="47"/>
    </row>
    <row r="18" spans="1:17" ht="16.5" customHeight="1">
      <c r="A18" s="15"/>
      <c r="B18" s="27"/>
      <c r="C18" s="27">
        <f>'Zbiorczo-paragr'!C247</f>
        <v>4210</v>
      </c>
      <c r="D18" s="27" t="str">
        <f>'Zbiorczo-paragr'!D247</f>
        <v xml:space="preserve">Zakup materiałów i wyposażenia                          </v>
      </c>
      <c r="E18" s="53">
        <f>SUM(E19)</f>
        <v>35000</v>
      </c>
      <c r="F18" s="53">
        <f>SUM(F19)</f>
        <v>71920</v>
      </c>
      <c r="G18" s="53">
        <f>SUM(G19)</f>
        <v>67200</v>
      </c>
      <c r="H18" s="23">
        <f t="shared" si="0"/>
        <v>0.93437152391546163</v>
      </c>
      <c r="I18" s="23">
        <f t="shared" si="1"/>
        <v>1.92</v>
      </c>
      <c r="J18" s="47"/>
      <c r="K18" s="56"/>
      <c r="L18" s="47"/>
      <c r="M18" s="47"/>
      <c r="N18" s="47"/>
      <c r="O18" s="47"/>
      <c r="P18" s="47"/>
      <c r="Q18" s="47"/>
    </row>
    <row r="19" spans="1:17" ht="77.25" customHeight="1">
      <c r="A19" s="15"/>
      <c r="B19" s="27"/>
      <c r="C19" s="27"/>
      <c r="D19" s="89" t="s">
        <v>816</v>
      </c>
      <c r="E19" s="53">
        <f>39000-4000</f>
        <v>35000</v>
      </c>
      <c r="F19" s="53">
        <v>71920</v>
      </c>
      <c r="G19" s="53">
        <v>67200</v>
      </c>
      <c r="H19" s="23">
        <f t="shared" si="0"/>
        <v>0.93437152391546163</v>
      </c>
      <c r="I19" s="23">
        <f t="shared" si="1"/>
        <v>1.92</v>
      </c>
      <c r="J19" s="47"/>
      <c r="K19" s="47"/>
      <c r="L19" s="47"/>
      <c r="M19" s="47"/>
      <c r="N19" s="47"/>
      <c r="O19" s="47"/>
      <c r="P19" s="47"/>
      <c r="Q19" s="47"/>
    </row>
    <row r="20" spans="1:17" ht="19.5" customHeight="1">
      <c r="A20" s="15"/>
      <c r="B20" s="27"/>
      <c r="C20" s="27">
        <v>4220</v>
      </c>
      <c r="D20" s="89" t="str">
        <f>'Zbiorczo-paragr'!D250</f>
        <v xml:space="preserve">Zakup środków żywności    </v>
      </c>
      <c r="E20" s="53"/>
      <c r="F20" s="53">
        <f>F21</f>
        <v>6700</v>
      </c>
      <c r="G20" s="53">
        <f>G21</f>
        <v>6700</v>
      </c>
      <c r="H20" s="23">
        <f t="shared" si="0"/>
        <v>1</v>
      </c>
      <c r="I20" s="23"/>
      <c r="J20" s="47"/>
      <c r="K20" s="47"/>
      <c r="L20" s="47"/>
      <c r="M20" s="47"/>
      <c r="N20" s="47"/>
      <c r="O20" s="47"/>
      <c r="P20" s="47"/>
      <c r="Q20" s="47"/>
    </row>
    <row r="21" spans="1:17" ht="18.75" customHeight="1">
      <c r="A21" s="15"/>
      <c r="B21" s="27"/>
      <c r="C21" s="27"/>
      <c r="D21" s="89" t="s">
        <v>616</v>
      </c>
      <c r="E21" s="53"/>
      <c r="F21" s="53">
        <v>6700</v>
      </c>
      <c r="G21" s="53">
        <v>6700</v>
      </c>
      <c r="H21" s="23">
        <f t="shared" si="0"/>
        <v>1</v>
      </c>
      <c r="I21" s="23"/>
      <c r="J21" s="47"/>
      <c r="K21" s="47"/>
      <c r="L21" s="47"/>
      <c r="M21" s="47"/>
      <c r="N21" s="47"/>
      <c r="O21" s="47"/>
      <c r="P21" s="47"/>
      <c r="Q21" s="47"/>
    </row>
    <row r="22" spans="1:17" ht="31.5" customHeight="1">
      <c r="A22" s="15"/>
      <c r="B22" s="27"/>
      <c r="C22" s="27">
        <f>'Zbiorczo-paragr'!C253</f>
        <v>4240</v>
      </c>
      <c r="D22" s="27" t="s">
        <v>673</v>
      </c>
      <c r="E22" s="53">
        <v>12000</v>
      </c>
      <c r="F22" s="53">
        <v>25000</v>
      </c>
      <c r="G22" s="53">
        <v>25000</v>
      </c>
      <c r="H22" s="23">
        <f t="shared" si="0"/>
        <v>1</v>
      </c>
      <c r="I22" s="23">
        <f t="shared" si="1"/>
        <v>2.0833333333333335</v>
      </c>
      <c r="J22" s="47"/>
      <c r="K22" s="47"/>
      <c r="L22" s="47"/>
      <c r="M22" s="47"/>
      <c r="N22" s="47"/>
      <c r="O22" s="47"/>
      <c r="P22" s="47"/>
      <c r="Q22" s="47"/>
    </row>
    <row r="23" spans="1:17" ht="15" customHeight="1">
      <c r="A23" s="15"/>
      <c r="B23" s="27"/>
      <c r="C23" s="27">
        <f>'Zbiorczo-paragr'!C256</f>
        <v>4260</v>
      </c>
      <c r="D23" s="27" t="str">
        <f>'Zbiorczo-paragr'!D256</f>
        <v xml:space="preserve">Zakup energii                                           </v>
      </c>
      <c r="E23" s="53">
        <f>SUM(E24)</f>
        <v>112850</v>
      </c>
      <c r="F23" s="53">
        <f>SUM(F24)</f>
        <v>94000</v>
      </c>
      <c r="G23" s="53">
        <f>SUM(G24)</f>
        <v>97000</v>
      </c>
      <c r="H23" s="23">
        <f t="shared" si="0"/>
        <v>1.0319148936170213</v>
      </c>
      <c r="I23" s="23">
        <f t="shared" si="1"/>
        <v>0.85954807266282673</v>
      </c>
      <c r="J23" s="47"/>
      <c r="K23" s="47"/>
      <c r="L23" s="47"/>
      <c r="M23" s="47"/>
      <c r="N23" s="47"/>
      <c r="O23" s="47"/>
      <c r="P23" s="47"/>
      <c r="Q23" s="47"/>
    </row>
    <row r="24" spans="1:17" ht="15" customHeight="1">
      <c r="A24" s="15"/>
      <c r="B24" s="27"/>
      <c r="C24" s="27"/>
      <c r="D24" s="27" t="s">
        <v>173</v>
      </c>
      <c r="E24" s="53">
        <f>104020+8830</f>
        <v>112850</v>
      </c>
      <c r="F24" s="53">
        <v>94000</v>
      </c>
      <c r="G24" s="53">
        <v>97000</v>
      </c>
      <c r="H24" s="23">
        <f t="shared" si="0"/>
        <v>1.0319148936170213</v>
      </c>
      <c r="I24" s="23">
        <f t="shared" si="1"/>
        <v>0.85954807266282673</v>
      </c>
      <c r="J24" s="47"/>
      <c r="K24" s="47"/>
      <c r="L24" s="47"/>
      <c r="M24" s="47"/>
      <c r="N24" s="47"/>
      <c r="O24" s="47"/>
      <c r="P24" s="47"/>
      <c r="Q24" s="47"/>
    </row>
    <row r="25" spans="1:17" ht="15" customHeight="1">
      <c r="A25" s="15"/>
      <c r="B25" s="27"/>
      <c r="C25" s="27">
        <f>'Zbiorczo-paragr'!C259</f>
        <v>4270</v>
      </c>
      <c r="D25" s="27" t="str">
        <f>'Zbiorczo-paragr'!D259</f>
        <v xml:space="preserve">Zakup usług remontowych                                 </v>
      </c>
      <c r="E25" s="53">
        <f>SUM(E26:E27)</f>
        <v>18500</v>
      </c>
      <c r="F25" s="53">
        <f>SUM(F26:F27)</f>
        <v>13500</v>
      </c>
      <c r="G25" s="53">
        <f>SUM(G26:G27)</f>
        <v>15000</v>
      </c>
      <c r="H25" s="23">
        <f t="shared" si="0"/>
        <v>1.1111111111111112</v>
      </c>
      <c r="I25" s="23">
        <f t="shared" si="1"/>
        <v>0.81081081081081086</v>
      </c>
      <c r="J25" s="47"/>
      <c r="K25" s="47"/>
      <c r="L25" s="47"/>
      <c r="M25" s="47"/>
      <c r="N25" s="47"/>
      <c r="O25" s="47"/>
      <c r="P25" s="47"/>
      <c r="Q25" s="47"/>
    </row>
    <row r="26" spans="1:17" ht="33.75" hidden="1" customHeight="1">
      <c r="A26" s="15"/>
      <c r="B26" s="27"/>
      <c r="C26" s="27"/>
      <c r="D26" s="27" t="s">
        <v>322</v>
      </c>
      <c r="E26" s="53">
        <v>0</v>
      </c>
      <c r="F26" s="53">
        <v>0</v>
      </c>
      <c r="G26" s="53">
        <v>0</v>
      </c>
      <c r="H26" s="23" t="e">
        <f t="shared" si="0"/>
        <v>#DIV/0!</v>
      </c>
      <c r="I26" s="23" t="e">
        <f t="shared" si="1"/>
        <v>#DIV/0!</v>
      </c>
      <c r="J26" s="47"/>
      <c r="K26" s="47"/>
      <c r="L26" s="47"/>
      <c r="M26" s="47"/>
      <c r="N26" s="47"/>
      <c r="O26" s="47"/>
      <c r="P26" s="47"/>
      <c r="Q26" s="47"/>
    </row>
    <row r="27" spans="1:17" ht="21" customHeight="1">
      <c r="A27" s="15"/>
      <c r="B27" s="27"/>
      <c r="C27" s="27"/>
      <c r="D27" s="27" t="s">
        <v>400</v>
      </c>
      <c r="E27" s="53">
        <v>18500</v>
      </c>
      <c r="F27" s="53">
        <v>13500</v>
      </c>
      <c r="G27" s="53">
        <v>15000</v>
      </c>
      <c r="H27" s="23">
        <f t="shared" si="0"/>
        <v>1.1111111111111112</v>
      </c>
      <c r="I27" s="23">
        <f t="shared" si="1"/>
        <v>0.81081081081081086</v>
      </c>
      <c r="J27" s="47"/>
      <c r="K27" s="47"/>
      <c r="L27" s="47"/>
      <c r="M27" s="47"/>
      <c r="N27" s="47"/>
      <c r="O27" s="47"/>
      <c r="P27" s="47"/>
      <c r="Q27" s="47"/>
    </row>
    <row r="28" spans="1:17" ht="31.5" customHeight="1">
      <c r="A28" s="15"/>
      <c r="B28" s="27"/>
      <c r="C28" s="27">
        <f>'Zbiorczo-paragr'!C264</f>
        <v>4280</v>
      </c>
      <c r="D28" s="27" t="s">
        <v>374</v>
      </c>
      <c r="E28" s="53">
        <v>1000</v>
      </c>
      <c r="F28" s="53">
        <v>1750</v>
      </c>
      <c r="G28" s="53">
        <v>2000</v>
      </c>
      <c r="H28" s="23">
        <f t="shared" si="0"/>
        <v>1.1428571428571428</v>
      </c>
      <c r="I28" s="23">
        <f t="shared" si="1"/>
        <v>2</v>
      </c>
      <c r="J28" s="47"/>
      <c r="K28" s="56"/>
      <c r="L28" s="47"/>
      <c r="M28" s="47"/>
      <c r="N28" s="47"/>
      <c r="O28" s="47"/>
      <c r="P28" s="47"/>
      <c r="Q28" s="47"/>
    </row>
    <row r="29" spans="1:17" ht="15" customHeight="1">
      <c r="A29" s="15"/>
      <c r="B29" s="27"/>
      <c r="C29" s="27">
        <f>'Zbiorczo-paragr'!C267</f>
        <v>4300</v>
      </c>
      <c r="D29" s="27" t="str">
        <f>'Zbiorczo-paragr'!D267</f>
        <v xml:space="preserve">Zakup usług pozostałych                                 </v>
      </c>
      <c r="E29" s="53">
        <f>SUM(E30)</f>
        <v>40000</v>
      </c>
      <c r="F29" s="53">
        <f>SUM(F30)</f>
        <v>115070</v>
      </c>
      <c r="G29" s="53">
        <f>SUM(G30)</f>
        <v>120000</v>
      </c>
      <c r="H29" s="23">
        <f t="shared" si="0"/>
        <v>1.0428434865733902</v>
      </c>
      <c r="I29" s="23">
        <f t="shared" si="1"/>
        <v>3</v>
      </c>
      <c r="J29" s="47"/>
      <c r="K29" s="47"/>
      <c r="L29" s="47"/>
      <c r="M29" s="47"/>
      <c r="N29" s="47"/>
      <c r="O29" s="47"/>
      <c r="P29" s="47"/>
      <c r="Q29" s="47"/>
    </row>
    <row r="30" spans="1:17" ht="107.25" customHeight="1">
      <c r="A30" s="15"/>
      <c r="B30" s="27"/>
      <c r="C30" s="27"/>
      <c r="D30" s="27" t="s">
        <v>820</v>
      </c>
      <c r="E30" s="53">
        <v>40000</v>
      </c>
      <c r="F30" s="53">
        <v>115070</v>
      </c>
      <c r="G30" s="53">
        <v>120000</v>
      </c>
      <c r="H30" s="23">
        <f t="shared" si="0"/>
        <v>1.0428434865733902</v>
      </c>
      <c r="I30" s="23">
        <f t="shared" si="1"/>
        <v>3</v>
      </c>
      <c r="J30" s="47"/>
      <c r="K30" s="47"/>
      <c r="L30" s="47"/>
      <c r="M30" s="47"/>
      <c r="N30" s="47"/>
      <c r="O30" s="47"/>
      <c r="P30" s="47"/>
      <c r="Q30" s="47"/>
    </row>
    <row r="31" spans="1:17" ht="18.75" customHeight="1">
      <c r="A31" s="15"/>
      <c r="B31" s="27"/>
      <c r="C31" s="27">
        <f>'Zbiorczo-paragr'!C270</f>
        <v>4360</v>
      </c>
      <c r="D31" s="27" t="str">
        <f>'Zbiorczo-paragr'!D270</f>
        <v xml:space="preserve">Opłaty z tytułu zakupu usług telekomunikacyjnych </v>
      </c>
      <c r="E31" s="53">
        <v>600</v>
      </c>
      <c r="F31" s="53">
        <f>F32</f>
        <v>1800</v>
      </c>
      <c r="G31" s="53">
        <f>G32</f>
        <v>1750</v>
      </c>
      <c r="H31" s="23">
        <f t="shared" si="0"/>
        <v>0.97222222222222221</v>
      </c>
      <c r="I31" s="23">
        <f t="shared" si="1"/>
        <v>2.9166666666666665</v>
      </c>
      <c r="J31" s="47"/>
      <c r="K31" s="56"/>
      <c r="L31" s="47"/>
      <c r="M31" s="56"/>
      <c r="N31" s="47"/>
      <c r="O31" s="47"/>
      <c r="P31" s="47"/>
      <c r="Q31" s="47"/>
    </row>
    <row r="32" spans="1:17" ht="18" customHeight="1">
      <c r="A32" s="15"/>
      <c r="B32" s="27"/>
      <c r="C32" s="27"/>
      <c r="D32" s="27" t="s">
        <v>465</v>
      </c>
      <c r="E32" s="53" t="e">
        <f>SUM(#REF!)</f>
        <v>#REF!</v>
      </c>
      <c r="F32" s="53">
        <v>1800</v>
      </c>
      <c r="G32" s="53">
        <v>1750</v>
      </c>
      <c r="H32" s="23">
        <f t="shared" si="0"/>
        <v>0.97222222222222221</v>
      </c>
      <c r="I32" s="23" t="e">
        <f t="shared" si="1"/>
        <v>#REF!</v>
      </c>
      <c r="J32" s="47"/>
      <c r="K32" s="47"/>
      <c r="L32" s="47"/>
      <c r="M32" s="56"/>
      <c r="N32" s="47"/>
      <c r="O32" s="47"/>
      <c r="P32" s="47"/>
      <c r="Q32" s="47"/>
    </row>
    <row r="33" spans="1:17" ht="18" customHeight="1">
      <c r="A33" s="15"/>
      <c r="B33" s="27"/>
      <c r="C33" s="27">
        <v>4390</v>
      </c>
      <c r="D33" s="27" t="str">
        <f>'Zbiorczo-paragr'!D273</f>
        <v>Zakup usług obejmujących wykonanie ekspertyz, analiz i opinii</v>
      </c>
      <c r="E33" s="53">
        <f>E34</f>
        <v>400</v>
      </c>
      <c r="F33" s="53">
        <f>F34</f>
        <v>630</v>
      </c>
      <c r="G33" s="53">
        <f>G34</f>
        <v>800</v>
      </c>
      <c r="H33" s="23">
        <f t="shared" si="0"/>
        <v>1.2698412698412698</v>
      </c>
      <c r="I33" s="23">
        <f t="shared" si="1"/>
        <v>2</v>
      </c>
      <c r="J33" s="47"/>
      <c r="K33" s="47"/>
      <c r="L33" s="47"/>
      <c r="M33" s="56"/>
      <c r="N33" s="47"/>
      <c r="O33" s="47"/>
      <c r="P33" s="47"/>
      <c r="Q33" s="47"/>
    </row>
    <row r="34" spans="1:17" ht="15.75" customHeight="1">
      <c r="A34" s="15"/>
      <c r="B34" s="27"/>
      <c r="C34" s="27"/>
      <c r="D34" s="27" t="s">
        <v>114</v>
      </c>
      <c r="E34" s="53">
        <v>400</v>
      </c>
      <c r="F34" s="53">
        <v>630</v>
      </c>
      <c r="G34" s="53">
        <v>800</v>
      </c>
      <c r="H34" s="23">
        <f t="shared" si="0"/>
        <v>1.2698412698412698</v>
      </c>
      <c r="I34" s="23">
        <f t="shared" si="1"/>
        <v>2</v>
      </c>
      <c r="J34" s="47"/>
      <c r="K34" s="47"/>
      <c r="L34" s="47"/>
      <c r="M34" s="47"/>
      <c r="N34" s="47"/>
      <c r="O34" s="47"/>
      <c r="P34" s="47"/>
      <c r="Q34" s="47"/>
    </row>
    <row r="35" spans="1:17" ht="17.25" customHeight="1">
      <c r="A35" s="15"/>
      <c r="B35" s="27"/>
      <c r="C35" s="27">
        <f>'Zbiorczo-paragr'!C276</f>
        <v>4410</v>
      </c>
      <c r="D35" s="27" t="str">
        <f>'Zbiorczo-paragr'!D276</f>
        <v xml:space="preserve">Podróże służbowe krajowe                                </v>
      </c>
      <c r="E35" s="53">
        <f>SUM(E36)</f>
        <v>2450</v>
      </c>
      <c r="F35" s="53">
        <f>SUM(F36)</f>
        <v>1630</v>
      </c>
      <c r="G35" s="53">
        <f>SUM(G36)</f>
        <v>1700</v>
      </c>
      <c r="H35" s="23">
        <f t="shared" si="0"/>
        <v>1.0429447852760736</v>
      </c>
      <c r="I35" s="23">
        <f t="shared" si="1"/>
        <v>0.69387755102040816</v>
      </c>
      <c r="J35" s="47"/>
      <c r="K35" s="47"/>
      <c r="L35" s="47"/>
      <c r="M35" s="47"/>
      <c r="N35" s="47"/>
      <c r="O35" s="47"/>
      <c r="P35" s="47"/>
      <c r="Q35" s="47"/>
    </row>
    <row r="36" spans="1:17" ht="45.75" customHeight="1">
      <c r="A36" s="15"/>
      <c r="B36" s="27"/>
      <c r="C36" s="27"/>
      <c r="D36" s="27" t="s">
        <v>221</v>
      </c>
      <c r="E36" s="53">
        <v>2450</v>
      </c>
      <c r="F36" s="53">
        <v>1630</v>
      </c>
      <c r="G36" s="53">
        <v>1700</v>
      </c>
      <c r="H36" s="23">
        <f t="shared" si="0"/>
        <v>1.0429447852760736</v>
      </c>
      <c r="I36" s="23">
        <f t="shared" si="1"/>
        <v>0.69387755102040816</v>
      </c>
      <c r="J36" s="47"/>
      <c r="K36" s="47"/>
      <c r="L36" s="47"/>
      <c r="M36" s="47"/>
      <c r="N36" s="47"/>
      <c r="O36" s="47"/>
      <c r="P36" s="47"/>
      <c r="Q36" s="47"/>
    </row>
    <row r="37" spans="1:17" ht="17.25" customHeight="1">
      <c r="A37" s="15"/>
      <c r="B37" s="27"/>
      <c r="C37" s="27">
        <f>'Zbiorczo-paragr'!C279</f>
        <v>4430</v>
      </c>
      <c r="D37" s="27" t="str">
        <f>'Zbiorczo-paragr'!D279</f>
        <v xml:space="preserve">Różne opłaty i składki                                  </v>
      </c>
      <c r="E37" s="53">
        <f>SUM(E38)</f>
        <v>1480</v>
      </c>
      <c r="F37" s="53">
        <f>SUM(F38)</f>
        <v>1500</v>
      </c>
      <c r="G37" s="53">
        <f>SUM(G38)</f>
        <v>1500</v>
      </c>
      <c r="H37" s="23">
        <f t="shared" si="0"/>
        <v>1</v>
      </c>
      <c r="I37" s="23">
        <f t="shared" si="1"/>
        <v>1.0135135135135136</v>
      </c>
      <c r="J37" s="47"/>
      <c r="K37" s="47"/>
      <c r="L37" s="47"/>
      <c r="M37" s="47"/>
      <c r="N37" s="47"/>
      <c r="O37" s="47"/>
      <c r="P37" s="47"/>
      <c r="Q37" s="47"/>
    </row>
    <row r="38" spans="1:17" ht="18.75" customHeight="1">
      <c r="A38" s="15"/>
      <c r="B38" s="27"/>
      <c r="C38" s="27"/>
      <c r="D38" s="27" t="s">
        <v>355</v>
      </c>
      <c r="E38" s="53">
        <v>1480</v>
      </c>
      <c r="F38" s="53">
        <v>1500</v>
      </c>
      <c r="G38" s="53">
        <v>1500</v>
      </c>
      <c r="H38" s="23">
        <f t="shared" si="0"/>
        <v>1</v>
      </c>
      <c r="I38" s="23">
        <f t="shared" si="1"/>
        <v>1.0135135135135136</v>
      </c>
      <c r="J38" s="47"/>
      <c r="K38" s="47"/>
      <c r="L38" s="47"/>
      <c r="M38" s="47"/>
      <c r="N38" s="47"/>
      <c r="O38" s="47"/>
      <c r="P38" s="47"/>
      <c r="Q38" s="47"/>
    </row>
    <row r="39" spans="1:17" ht="45.75" customHeight="1">
      <c r="A39" s="15"/>
      <c r="B39" s="27"/>
      <c r="C39" s="27">
        <f>'Zbiorczo-paragr'!C282</f>
        <v>4440</v>
      </c>
      <c r="D39" s="27" t="s">
        <v>16</v>
      </c>
      <c r="E39" s="53">
        <v>55951</v>
      </c>
      <c r="F39" s="53">
        <v>88621</v>
      </c>
      <c r="G39" s="53">
        <v>88643</v>
      </c>
      <c r="H39" s="23">
        <f t="shared" si="0"/>
        <v>1.0002482481578858</v>
      </c>
      <c r="I39" s="23">
        <f t="shared" si="1"/>
        <v>1.584296974138085</v>
      </c>
      <c r="J39" s="47"/>
      <c r="K39" s="47"/>
      <c r="L39" s="47"/>
      <c r="M39" s="47"/>
      <c r="N39" s="47"/>
      <c r="O39" s="47"/>
      <c r="P39" s="47"/>
      <c r="Q39" s="47"/>
    </row>
    <row r="40" spans="1:17" ht="16.5" customHeight="1">
      <c r="A40" s="15"/>
      <c r="B40" s="27"/>
      <c r="C40" s="28">
        <f>'Zbiorczo-paragr'!C285</f>
        <v>4700</v>
      </c>
      <c r="D40" s="28" t="str">
        <f>'Zbiorczo-paragr'!D285</f>
        <v xml:space="preserve">Szkolenia pracowników niebędących członkami korpusu służby cywilnej                                  </v>
      </c>
      <c r="E40" s="53">
        <f>SUM(E41)</f>
        <v>1500</v>
      </c>
      <c r="F40" s="53">
        <f>SUM(F41)</f>
        <v>1200</v>
      </c>
      <c r="G40" s="53">
        <f>SUM(G41)</f>
        <v>1200</v>
      </c>
      <c r="H40" s="23">
        <f t="shared" si="0"/>
        <v>1</v>
      </c>
      <c r="I40" s="23">
        <f t="shared" si="1"/>
        <v>0.8</v>
      </c>
      <c r="J40" s="47"/>
      <c r="K40" s="47"/>
      <c r="L40" s="47"/>
      <c r="M40" s="47"/>
      <c r="N40" s="47"/>
      <c r="O40" s="47"/>
      <c r="P40" s="47"/>
      <c r="Q40" s="47"/>
    </row>
    <row r="41" spans="1:17" ht="16.5" customHeight="1">
      <c r="A41" s="15"/>
      <c r="B41" s="27"/>
      <c r="C41" s="28"/>
      <c r="D41" s="28" t="s">
        <v>17</v>
      </c>
      <c r="E41" s="53">
        <v>1500</v>
      </c>
      <c r="F41" s="53">
        <v>1200</v>
      </c>
      <c r="G41" s="53">
        <v>1200</v>
      </c>
      <c r="H41" s="23">
        <f t="shared" si="0"/>
        <v>1</v>
      </c>
      <c r="I41" s="23">
        <f t="shared" si="1"/>
        <v>0.8</v>
      </c>
      <c r="J41" s="47"/>
      <c r="K41" s="47"/>
      <c r="L41" s="47"/>
      <c r="M41" s="47"/>
      <c r="N41" s="47"/>
      <c r="O41" s="47"/>
      <c r="P41" s="47"/>
      <c r="Q41" s="47"/>
    </row>
    <row r="42" spans="1:17" ht="17.25" hidden="1" customHeight="1">
      <c r="A42" s="15"/>
      <c r="B42" s="27"/>
      <c r="C42" s="32">
        <v>6060</v>
      </c>
      <c r="D42" s="463" t="s">
        <v>414</v>
      </c>
      <c r="E42" s="469">
        <f>SUM(E43)</f>
        <v>5500</v>
      </c>
      <c r="F42" s="469">
        <f>SUM(F43)</f>
        <v>0</v>
      </c>
      <c r="G42" s="469">
        <f>SUM(G43)</f>
        <v>0</v>
      </c>
      <c r="H42" s="26" t="e">
        <f t="shared" si="0"/>
        <v>#DIV/0!</v>
      </c>
      <c r="I42" s="23">
        <f t="shared" si="1"/>
        <v>0</v>
      </c>
      <c r="K42" s="47"/>
      <c r="L42" s="47"/>
      <c r="M42" s="47"/>
      <c r="N42" s="47"/>
      <c r="O42" s="47"/>
      <c r="P42" s="47"/>
      <c r="Q42" s="47"/>
    </row>
    <row r="43" spans="1:17" ht="17.25" hidden="1" customHeight="1">
      <c r="A43" s="15"/>
      <c r="B43" s="27"/>
      <c r="C43" s="32"/>
      <c r="D43" s="463" t="s">
        <v>614</v>
      </c>
      <c r="E43" s="469">
        <v>5500</v>
      </c>
      <c r="F43" s="469">
        <v>0</v>
      </c>
      <c r="G43" s="469">
        <v>0</v>
      </c>
      <c r="H43" s="26" t="e">
        <f t="shared" si="0"/>
        <v>#DIV/0!</v>
      </c>
      <c r="I43" s="23">
        <f t="shared" si="1"/>
        <v>0</v>
      </c>
      <c r="K43" s="47"/>
      <c r="L43" s="47"/>
      <c r="M43" s="47"/>
      <c r="N43" s="47"/>
      <c r="O43" s="47"/>
      <c r="P43" s="47"/>
      <c r="Q43" s="47"/>
    </row>
    <row r="44" spans="1:17" ht="15" customHeight="1">
      <c r="A44" s="557" t="s">
        <v>66</v>
      </c>
      <c r="B44" s="558"/>
      <c r="C44" s="558"/>
      <c r="D44" s="559"/>
      <c r="E44" s="54" t="e">
        <f>SUM(E3+E6+E10+E11+E14+E12+E13+E18+#REF!+E22+E23+E25+E28+E29+E31+E32+E33+E35+E37+E39+E40+E42+#REF!)</f>
        <v>#REF!</v>
      </c>
      <c r="F44" s="54">
        <f>SUM(F3+F6+F10+F11+F14+F12+F13+F16+F18+F20+F22+F23+F25+F28+F29+F31+F33+F35+F37+F39+F40+F42)</f>
        <v>2646301</v>
      </c>
      <c r="G44" s="54">
        <f>SUM(G3+G6+G10+G11+G14+G12+G13+G16+G18+G20+G22+G23+G25+G28+G29+G31+G33+G35+G37+G39+G40+G42)</f>
        <v>2929143</v>
      </c>
      <c r="H44" s="26">
        <f t="shared" si="0"/>
        <v>1.1068820213573589</v>
      </c>
      <c r="I44" s="23" t="e">
        <f t="shared" si="1"/>
        <v>#REF!</v>
      </c>
      <c r="K44" s="47"/>
      <c r="L44" s="47"/>
      <c r="M44" s="47"/>
      <c r="N44" s="47"/>
      <c r="O44" s="47"/>
      <c r="P44" s="47"/>
      <c r="Q44" s="47"/>
    </row>
    <row r="45" spans="1:17" ht="15" customHeight="1">
      <c r="A45" s="27">
        <f>'Zbiorczo-paragr'!A439</f>
        <v>801</v>
      </c>
      <c r="B45" s="27">
        <f>'Zbiorczo-paragr'!B439</f>
        <v>80146</v>
      </c>
      <c r="C45" s="27">
        <f>'Zbiorczo-paragr'!C439</f>
        <v>3020</v>
      </c>
      <c r="D45" s="27" t="str">
        <f>'Zbiorczo-paragr'!D439</f>
        <v xml:space="preserve">Wydatki osobowe niezaliczone do wynagrodzeń  </v>
      </c>
      <c r="E45" s="50">
        <f>SUM(E46)</f>
        <v>0</v>
      </c>
      <c r="F45" s="50">
        <f>SUM(F46)</f>
        <v>988</v>
      </c>
      <c r="G45" s="50">
        <f>SUM(G46)</f>
        <v>4000</v>
      </c>
      <c r="H45" s="26">
        <f t="shared" si="0"/>
        <v>4.048582995951417</v>
      </c>
      <c r="I45" s="23" t="e">
        <f t="shared" si="1"/>
        <v>#DIV/0!</v>
      </c>
      <c r="J45" s="47"/>
      <c r="K45" s="47"/>
      <c r="L45" s="47"/>
      <c r="M45" s="47"/>
      <c r="N45" s="47"/>
      <c r="O45" s="47"/>
      <c r="P45" s="47"/>
      <c r="Q45" s="47"/>
    </row>
    <row r="46" spans="1:17" ht="31.5" customHeight="1">
      <c r="A46" s="15"/>
      <c r="B46" s="27"/>
      <c r="C46" s="27"/>
      <c r="D46" s="27" t="str">
        <f>'Zbiorczo-paragr'!D442</f>
        <v>opłaty za kształcenie pobierane przez szkoły wyższe i zakłady kształcenia nauczycieli - przedszkole</v>
      </c>
      <c r="E46" s="50">
        <v>0</v>
      </c>
      <c r="F46" s="50">
        <v>988</v>
      </c>
      <c r="G46" s="50">
        <v>4000</v>
      </c>
      <c r="H46" s="26">
        <f t="shared" si="0"/>
        <v>4.048582995951417</v>
      </c>
      <c r="I46" s="23" t="e">
        <f t="shared" si="1"/>
        <v>#DIV/0!</v>
      </c>
      <c r="J46" s="47"/>
      <c r="K46" s="47"/>
      <c r="L46" s="47"/>
      <c r="M46" s="47"/>
      <c r="N46" s="47"/>
      <c r="O46" s="47"/>
      <c r="P46" s="47"/>
      <c r="Q46" s="47"/>
    </row>
    <row r="47" spans="1:17" ht="16.5" hidden="1" customHeight="1">
      <c r="A47" s="15">
        <v>801</v>
      </c>
      <c r="B47" s="27">
        <v>80146</v>
      </c>
      <c r="C47" s="27">
        <v>4410</v>
      </c>
      <c r="D47" s="27" t="str">
        <f>'Zbiorczo-paragr'!D444</f>
        <v xml:space="preserve">Podróże służbowe krajowe                                </v>
      </c>
      <c r="E47" s="50">
        <f>E48</f>
        <v>200</v>
      </c>
      <c r="F47" s="50">
        <f>F48</f>
        <v>0</v>
      </c>
      <c r="G47" s="50">
        <f>G48</f>
        <v>0</v>
      </c>
      <c r="H47" s="23" t="e">
        <f t="shared" si="0"/>
        <v>#DIV/0!</v>
      </c>
      <c r="I47" s="23">
        <f t="shared" si="1"/>
        <v>0</v>
      </c>
      <c r="J47" s="47"/>
      <c r="K47" s="47"/>
      <c r="L47" s="47"/>
      <c r="M47" s="47"/>
      <c r="N47" s="47"/>
      <c r="O47" s="47"/>
      <c r="P47" s="47"/>
      <c r="Q47" s="47"/>
    </row>
    <row r="48" spans="1:17" ht="16.5" hidden="1" customHeight="1">
      <c r="A48" s="15"/>
      <c r="B48" s="27"/>
      <c r="C48" s="27"/>
      <c r="D48" s="27" t="s">
        <v>351</v>
      </c>
      <c r="E48" s="50">
        <v>200</v>
      </c>
      <c r="F48" s="50">
        <v>0</v>
      </c>
      <c r="G48" s="50">
        <v>0</v>
      </c>
      <c r="H48" s="23" t="e">
        <f t="shared" si="0"/>
        <v>#DIV/0!</v>
      </c>
      <c r="I48" s="23">
        <f t="shared" si="1"/>
        <v>0</v>
      </c>
      <c r="J48" s="47"/>
      <c r="K48" s="47"/>
      <c r="L48" s="47"/>
      <c r="M48" s="47"/>
      <c r="N48" s="47"/>
      <c r="O48" s="47"/>
      <c r="P48" s="47"/>
      <c r="Q48" s="47"/>
    </row>
    <row r="49" spans="1:17" ht="17.25" customHeight="1">
      <c r="A49" s="15"/>
      <c r="B49" s="27"/>
      <c r="C49" s="27">
        <f>'Zbiorczo-paragr'!C449</f>
        <v>4700</v>
      </c>
      <c r="D49" s="27" t="str">
        <f>'Zbiorczo-paragr'!D449</f>
        <v>Szkolenie pracowników niebędących członkami korpusu służby cywilnej</v>
      </c>
      <c r="E49" s="50">
        <f>SUM(E50)</f>
        <v>5539</v>
      </c>
      <c r="F49" s="50">
        <f>SUM(F50)</f>
        <v>8962</v>
      </c>
      <c r="G49" s="50">
        <f>SUM(G50)</f>
        <v>5166</v>
      </c>
      <c r="H49" s="23">
        <f>SUM(G49/F49)</f>
        <v>0.57643383173398799</v>
      </c>
      <c r="I49" s="23">
        <f t="shared" si="1"/>
        <v>0.93265932478786784</v>
      </c>
      <c r="J49" s="47"/>
      <c r="K49" s="47"/>
      <c r="L49" s="47"/>
      <c r="M49" s="47"/>
      <c r="N49" s="47"/>
      <c r="O49" s="47"/>
      <c r="P49" s="47"/>
      <c r="Q49" s="47"/>
    </row>
    <row r="50" spans="1:17" ht="17.25" customHeight="1">
      <c r="A50" s="15"/>
      <c r="B50" s="27"/>
      <c r="C50" s="27"/>
      <c r="D50" s="27" t="str">
        <f>'Zbiorczo-paragr'!D452</f>
        <v>opłaty za szkolenia nauczycieli- przedszkole</v>
      </c>
      <c r="E50" s="50">
        <v>5539</v>
      </c>
      <c r="F50" s="50">
        <v>8962</v>
      </c>
      <c r="G50" s="50">
        <f>'[3]Przedszk.M-ce'!$F$54-G46</f>
        <v>5166</v>
      </c>
      <c r="H50" s="23">
        <f>SUM(G50/F50)</f>
        <v>0.57643383173398799</v>
      </c>
      <c r="I50" s="23">
        <f t="shared" si="1"/>
        <v>0.93265932478786784</v>
      </c>
      <c r="J50" s="47"/>
      <c r="K50" s="47"/>
      <c r="L50" s="47"/>
      <c r="M50" s="47"/>
      <c r="N50" s="47"/>
      <c r="O50" s="47"/>
      <c r="P50" s="47"/>
      <c r="Q50" s="47"/>
    </row>
    <row r="51" spans="1:17" ht="18" customHeight="1">
      <c r="A51" s="490" t="str">
        <f>'Zbiorczo-paragr'!A454:D454</f>
        <v>80146 Dokształcanie i doskonalenie nauczycieli : Razem</v>
      </c>
      <c r="B51" s="491"/>
      <c r="C51" s="491"/>
      <c r="D51" s="492"/>
      <c r="E51" s="54">
        <f>SUM(E45+E47+E49)</f>
        <v>5739</v>
      </c>
      <c r="F51" s="54">
        <f>SUM(F45+F47+F49)</f>
        <v>9950</v>
      </c>
      <c r="G51" s="54">
        <f>SUM(G45+G47+G49)</f>
        <v>9166</v>
      </c>
      <c r="H51" s="26">
        <f>SUM(G51/F51)</f>
        <v>0.92120603015075375</v>
      </c>
      <c r="I51" s="23">
        <f t="shared" si="1"/>
        <v>1.5971423592960445</v>
      </c>
      <c r="J51" s="47"/>
      <c r="K51" s="56"/>
      <c r="L51" s="47"/>
      <c r="M51" s="47"/>
      <c r="N51" s="47"/>
      <c r="O51" s="47"/>
      <c r="P51" s="47"/>
      <c r="Q51" s="47"/>
    </row>
    <row r="52" spans="1:17" ht="18" customHeight="1">
      <c r="A52" s="498">
        <v>801</v>
      </c>
      <c r="B52" s="498">
        <v>80149</v>
      </c>
      <c r="C52" s="15">
        <f>'Zbiorczo-paragr'!C467</f>
        <v>3020</v>
      </c>
      <c r="D52" s="57" t="str">
        <f>'Zbiorczo-paragr'!D467</f>
        <v xml:space="preserve">Wydatki osobowe niezaliczone do wynagrodzeń  </v>
      </c>
      <c r="E52" s="50">
        <f>SUM(E53)</f>
        <v>67000</v>
      </c>
      <c r="F52" s="50">
        <f>F53</f>
        <v>0</v>
      </c>
      <c r="G52" s="50">
        <f>G53</f>
        <v>2000</v>
      </c>
      <c r="H52" s="23" t="e">
        <f t="shared" ref="H52:H66" si="2">SUM(G52/F52)</f>
        <v>#DIV/0!</v>
      </c>
      <c r="I52" s="23"/>
      <c r="J52" s="47"/>
      <c r="K52" s="47"/>
      <c r="L52" s="47"/>
      <c r="M52" s="47"/>
      <c r="N52" s="47"/>
      <c r="O52" s="47"/>
      <c r="P52" s="47"/>
      <c r="Q52" s="47"/>
    </row>
    <row r="53" spans="1:17" ht="18" customHeight="1">
      <c r="A53" s="498"/>
      <c r="B53" s="498"/>
      <c r="C53" s="15"/>
      <c r="D53" s="57" t="str">
        <f>'Zbiorczo-paragr'!D468</f>
        <v>dodatki wiejskie - przedszkola gminne</v>
      </c>
      <c r="E53" s="50">
        <f>68500-1500</f>
        <v>67000</v>
      </c>
      <c r="F53" s="50">
        <v>0</v>
      </c>
      <c r="G53" s="50">
        <v>2000</v>
      </c>
      <c r="H53" s="23" t="e">
        <f t="shared" si="2"/>
        <v>#DIV/0!</v>
      </c>
      <c r="I53" s="23"/>
      <c r="J53" s="47"/>
      <c r="K53" s="47"/>
      <c r="L53" s="47"/>
      <c r="M53" s="47"/>
      <c r="N53" s="47"/>
      <c r="O53" s="47"/>
      <c r="P53" s="47"/>
      <c r="Q53" s="47"/>
    </row>
    <row r="54" spans="1:17" ht="18" customHeight="1">
      <c r="A54" s="498"/>
      <c r="B54" s="498"/>
      <c r="C54" s="15">
        <f>'Zbiorczo-paragr'!C470</f>
        <v>4010</v>
      </c>
      <c r="D54" s="57" t="str">
        <f>'Zbiorczo-paragr'!D470</f>
        <v xml:space="preserve">Wynagrodzenia osobowe pracowników                       </v>
      </c>
      <c r="E54" s="50">
        <f>SUM(E55)</f>
        <v>897000</v>
      </c>
      <c r="F54" s="50">
        <f>F55</f>
        <v>0</v>
      </c>
      <c r="G54" s="50">
        <f>G55</f>
        <v>24000</v>
      </c>
      <c r="H54" s="23" t="e">
        <f t="shared" si="2"/>
        <v>#DIV/0!</v>
      </c>
      <c r="I54" s="23"/>
      <c r="J54" s="47"/>
      <c r="K54" s="47"/>
      <c r="L54" s="47"/>
      <c r="M54" s="47"/>
      <c r="N54" s="47"/>
      <c r="O54" s="47"/>
      <c r="P54" s="47"/>
      <c r="Q54" s="47"/>
    </row>
    <row r="55" spans="1:17" ht="18" customHeight="1">
      <c r="A55" s="498"/>
      <c r="B55" s="498"/>
      <c r="C55" s="15"/>
      <c r="D55" s="57" t="str">
        <f>'Zbiorczo-paragr'!D471</f>
        <v>wynagrodzenia osobowe pracowników- przedszkola gminne</v>
      </c>
      <c r="E55" s="53">
        <f>907000-10000</f>
        <v>897000</v>
      </c>
      <c r="F55" s="53">
        <v>0</v>
      </c>
      <c r="G55" s="53">
        <v>24000</v>
      </c>
      <c r="H55" s="23" t="e">
        <f t="shared" si="2"/>
        <v>#DIV/0!</v>
      </c>
      <c r="I55" s="23"/>
      <c r="J55" s="47"/>
      <c r="K55" s="47"/>
      <c r="L55" s="47"/>
      <c r="M55" s="47"/>
      <c r="N55" s="47"/>
      <c r="O55" s="47"/>
      <c r="P55" s="47"/>
      <c r="Q55" s="47"/>
    </row>
    <row r="56" spans="1:17" ht="18" customHeight="1">
      <c r="A56" s="498"/>
      <c r="B56" s="498"/>
      <c r="C56" s="15">
        <f>'Zbiorczo-paragr'!C473</f>
        <v>4110</v>
      </c>
      <c r="D56" s="57" t="str">
        <f>'Zbiorczo-paragr'!D473</f>
        <v xml:space="preserve">Składki na ubezpieczenia społeczne                      </v>
      </c>
      <c r="E56" s="50"/>
      <c r="F56" s="50">
        <f>F57</f>
        <v>0</v>
      </c>
      <c r="G56" s="50">
        <f>G57</f>
        <v>4500</v>
      </c>
      <c r="H56" s="23" t="e">
        <f t="shared" si="2"/>
        <v>#DIV/0!</v>
      </c>
      <c r="I56" s="23"/>
      <c r="J56" s="47"/>
      <c r="K56" s="47"/>
      <c r="L56" s="47"/>
      <c r="M56" s="47"/>
      <c r="N56" s="47"/>
      <c r="O56" s="47"/>
      <c r="P56" s="47"/>
      <c r="Q56" s="47"/>
    </row>
    <row r="57" spans="1:17" ht="18" customHeight="1">
      <c r="A57" s="498"/>
      <c r="B57" s="498"/>
      <c r="C57" s="15"/>
      <c r="D57" s="57" t="str">
        <f>'Zbiorczo-paragr'!D474</f>
        <v xml:space="preserve">składki na ubezpieczenia społeczne- przedszkola gminne                     </v>
      </c>
      <c r="E57" s="50"/>
      <c r="F57" s="50">
        <v>0</v>
      </c>
      <c r="G57" s="50">
        <v>4500</v>
      </c>
      <c r="H57" s="23" t="e">
        <f t="shared" si="2"/>
        <v>#DIV/0!</v>
      </c>
      <c r="I57" s="23"/>
      <c r="J57" s="47"/>
      <c r="K57" s="47"/>
      <c r="L57" s="47"/>
      <c r="M57" s="47"/>
      <c r="N57" s="47"/>
      <c r="O57" s="47"/>
      <c r="P57" s="47"/>
      <c r="Q57" s="47"/>
    </row>
    <row r="58" spans="1:17" ht="18" customHeight="1">
      <c r="A58" s="498"/>
      <c r="B58" s="498"/>
      <c r="C58" s="15">
        <f>'Zbiorczo-paragr'!C476</f>
        <v>4120</v>
      </c>
      <c r="D58" s="57" t="str">
        <f>'Zbiorczo-paragr'!D476</f>
        <v xml:space="preserve">Składki na Fundusz Pracy                                </v>
      </c>
      <c r="E58" s="50"/>
      <c r="F58" s="50">
        <f>F59</f>
        <v>0</v>
      </c>
      <c r="G58" s="50">
        <f>G59</f>
        <v>650</v>
      </c>
      <c r="H58" s="23" t="e">
        <f t="shared" si="2"/>
        <v>#DIV/0!</v>
      </c>
      <c r="I58" s="23"/>
      <c r="J58" s="47"/>
      <c r="K58" s="47"/>
      <c r="L58" s="47"/>
      <c r="M58" s="47"/>
      <c r="N58" s="47"/>
      <c r="O58" s="47"/>
      <c r="P58" s="47"/>
      <c r="Q58" s="47"/>
    </row>
    <row r="59" spans="1:17" ht="18" customHeight="1">
      <c r="A59" s="498"/>
      <c r="B59" s="498"/>
      <c r="C59" s="15"/>
      <c r="D59" s="57" t="str">
        <f>'Zbiorczo-paragr'!D478</f>
        <v xml:space="preserve">składki na Fundusz Pracy- przedszkolna gminne                         </v>
      </c>
      <c r="E59" s="50"/>
      <c r="F59" s="50">
        <v>0</v>
      </c>
      <c r="G59" s="50">
        <v>650</v>
      </c>
      <c r="H59" s="23" t="e">
        <f t="shared" si="2"/>
        <v>#DIV/0!</v>
      </c>
      <c r="I59" s="23"/>
      <c r="J59" s="47"/>
      <c r="K59" s="47"/>
      <c r="L59" s="47"/>
      <c r="M59" s="47"/>
      <c r="N59" s="47"/>
      <c r="O59" s="47"/>
      <c r="P59" s="47"/>
      <c r="Q59" s="47"/>
    </row>
    <row r="60" spans="1:17" ht="18" hidden="1" customHeight="1">
      <c r="A60" s="498"/>
      <c r="B60" s="498"/>
      <c r="C60" s="15">
        <f>'Zbiorczo-paragr'!C479</f>
        <v>4210</v>
      </c>
      <c r="D60" s="57" t="str">
        <f>'Zbiorczo-paragr'!D479</f>
        <v xml:space="preserve">Zakup materiałów i wyposażenia                          </v>
      </c>
      <c r="E60" s="50"/>
      <c r="F60" s="50">
        <f>F61</f>
        <v>0</v>
      </c>
      <c r="G60" s="50">
        <f>G61</f>
        <v>0</v>
      </c>
      <c r="H60" s="23" t="e">
        <f t="shared" si="2"/>
        <v>#DIV/0!</v>
      </c>
      <c r="I60" s="23"/>
      <c r="J60" s="47"/>
      <c r="K60" s="47"/>
      <c r="L60" s="47"/>
      <c r="M60" s="47"/>
      <c r="N60" s="47"/>
      <c r="O60" s="47"/>
      <c r="P60" s="47"/>
      <c r="Q60" s="47"/>
    </row>
    <row r="61" spans="1:17" ht="18" hidden="1" customHeight="1">
      <c r="A61" s="498"/>
      <c r="B61" s="498"/>
      <c r="C61" s="15"/>
      <c r="D61" s="57" t="str">
        <f>'Zbiorczo-paragr'!D480</f>
        <v>zakup materiałów i wyposażenia - przedszkola gminne</v>
      </c>
      <c r="E61" s="50"/>
      <c r="F61" s="50">
        <v>0</v>
      </c>
      <c r="G61" s="50">
        <v>0</v>
      </c>
      <c r="H61" s="23" t="e">
        <f t="shared" si="2"/>
        <v>#DIV/0!</v>
      </c>
      <c r="I61" s="23"/>
      <c r="J61" s="47"/>
      <c r="K61" s="47"/>
      <c r="L61" s="47"/>
      <c r="M61" s="47"/>
      <c r="N61" s="47"/>
      <c r="O61" s="47"/>
      <c r="P61" s="47"/>
      <c r="Q61" s="47"/>
    </row>
    <row r="62" spans="1:17" ht="18" customHeight="1">
      <c r="A62" s="498"/>
      <c r="B62" s="498"/>
      <c r="C62" s="15">
        <f>'Zbiorczo-paragr'!C481</f>
        <v>4240</v>
      </c>
      <c r="D62" s="57" t="str">
        <f>'Zbiorczo-paragr'!D481</f>
        <v xml:space="preserve">Zakup pomocy naukowych, dydaktycznych i książek         </v>
      </c>
      <c r="E62" s="50"/>
      <c r="F62" s="50">
        <f>F63</f>
        <v>0</v>
      </c>
      <c r="G62" s="50">
        <f>G63</f>
        <v>3000</v>
      </c>
      <c r="H62" s="23" t="e">
        <f t="shared" si="2"/>
        <v>#DIV/0!</v>
      </c>
      <c r="I62" s="23"/>
      <c r="J62" s="47"/>
      <c r="K62" s="47"/>
      <c r="L62" s="47"/>
      <c r="M62" s="47"/>
      <c r="N62" s="47"/>
      <c r="O62" s="47"/>
      <c r="P62" s="47"/>
      <c r="Q62" s="47"/>
    </row>
    <row r="63" spans="1:17" ht="18" customHeight="1">
      <c r="A63" s="498"/>
      <c r="B63" s="498"/>
      <c r="C63" s="15"/>
      <c r="D63" s="57" t="str">
        <f>'Zbiorczo-paragr'!D482</f>
        <v>zakup pomocy naukowch , dydaktycznych i książek - przedszkola gminne</v>
      </c>
      <c r="E63" s="50"/>
      <c r="F63" s="50">
        <v>0</v>
      </c>
      <c r="G63" s="50">
        <v>3000</v>
      </c>
      <c r="H63" s="23" t="e">
        <f t="shared" si="2"/>
        <v>#DIV/0!</v>
      </c>
      <c r="I63" s="23"/>
      <c r="J63" s="47"/>
      <c r="K63" s="47"/>
      <c r="L63" s="47"/>
      <c r="M63" s="47"/>
      <c r="N63" s="47"/>
      <c r="O63" s="47"/>
      <c r="P63" s="47"/>
      <c r="Q63" s="47"/>
    </row>
    <row r="64" spans="1:17" ht="18" hidden="1" customHeight="1">
      <c r="A64" s="498"/>
      <c r="B64" s="498"/>
      <c r="C64" s="15">
        <f>'Zbiorczo-paragr'!C483</f>
        <v>4300</v>
      </c>
      <c r="D64" s="57" t="str">
        <f>'Zbiorczo-paragr'!D483</f>
        <v xml:space="preserve">Zakup usług pozostałych                                 </v>
      </c>
      <c r="E64" s="50"/>
      <c r="F64" s="50">
        <f>F65</f>
        <v>0</v>
      </c>
      <c r="G64" s="50">
        <f>G65</f>
        <v>0</v>
      </c>
      <c r="H64" s="23" t="e">
        <f t="shared" si="2"/>
        <v>#DIV/0!</v>
      </c>
      <c r="I64" s="23"/>
      <c r="J64" s="47"/>
      <c r="K64" s="47"/>
      <c r="L64" s="47"/>
      <c r="M64" s="47"/>
      <c r="N64" s="47"/>
      <c r="O64" s="47"/>
      <c r="P64" s="47"/>
      <c r="Q64" s="47"/>
    </row>
    <row r="65" spans="1:17" ht="18" hidden="1" customHeight="1">
      <c r="A65" s="498"/>
      <c r="B65" s="498"/>
      <c r="C65" s="15"/>
      <c r="D65" s="57" t="str">
        <f>'Zbiorczo-paragr'!D484</f>
        <v>usługi związane z niepełnosprawnością - przedszkola gminne</v>
      </c>
      <c r="E65" s="50"/>
      <c r="F65" s="50">
        <v>0</v>
      </c>
      <c r="G65" s="50">
        <v>0</v>
      </c>
      <c r="H65" s="23" t="e">
        <f t="shared" si="2"/>
        <v>#DIV/0!</v>
      </c>
      <c r="I65" s="23"/>
      <c r="J65" s="47"/>
      <c r="K65" s="47"/>
      <c r="L65" s="47"/>
      <c r="M65" s="47"/>
      <c r="N65" s="47"/>
      <c r="O65" s="47"/>
      <c r="P65" s="47"/>
      <c r="Q65" s="47"/>
    </row>
    <row r="66" spans="1:17" ht="43.5" customHeight="1">
      <c r="A66" s="512" t="str">
        <f>'Zbiorczo-paragr'!A485:D485</f>
        <v>80149 Realizacja zadań wymagających stosowania specjalnej organizacji nauki i metod pracy dla dzieci w przedszkolach, oddziałach przedszkolnych w szkołach podstawowych i innych formach wychowania przedszkolnego : Razem</v>
      </c>
      <c r="B66" s="513"/>
      <c r="C66" s="513"/>
      <c r="D66" s="514"/>
      <c r="E66" s="50"/>
      <c r="F66" s="54">
        <f>SUM(F52+F54+F56+F58+F60+F62+F64)</f>
        <v>0</v>
      </c>
      <c r="G66" s="54">
        <f>SUM(G52+G54+G56+G58+G60+G62+G64)</f>
        <v>34150</v>
      </c>
      <c r="H66" s="26" t="e">
        <f t="shared" si="2"/>
        <v>#DIV/0!</v>
      </c>
      <c r="I66" s="23"/>
      <c r="J66" s="47"/>
      <c r="K66" s="47"/>
      <c r="L66" s="47"/>
      <c r="M66" s="47"/>
      <c r="N66" s="47"/>
      <c r="O66" s="47"/>
      <c r="P66" s="47"/>
      <c r="Q66" s="47"/>
    </row>
    <row r="67" spans="1:17" ht="15.75" customHeight="1">
      <c r="A67" s="572" t="str">
        <f>'Zbiorczo-paragr'!A549:D549</f>
        <v xml:space="preserve">801 Oświata i wychowanie - Razem                                    </v>
      </c>
      <c r="B67" s="573"/>
      <c r="C67" s="573"/>
      <c r="D67" s="574"/>
      <c r="E67" s="54" t="e">
        <f>E44+E51+#REF!</f>
        <v>#REF!</v>
      </c>
      <c r="F67" s="54">
        <f>F44+F51+F66</f>
        <v>2656251</v>
      </c>
      <c r="G67" s="54">
        <f>G44+G51+G66</f>
        <v>2972459</v>
      </c>
      <c r="H67" s="26">
        <f>SUM(G67/F67)</f>
        <v>1.11904296694853</v>
      </c>
      <c r="I67" s="23" t="e">
        <f t="shared" si="1"/>
        <v>#REF!</v>
      </c>
      <c r="J67" s="47"/>
      <c r="K67" s="47"/>
      <c r="L67" s="47"/>
      <c r="M67" s="47"/>
      <c r="N67" s="47"/>
      <c r="O67" s="47"/>
      <c r="P67" s="47"/>
      <c r="Q67" s="47"/>
    </row>
    <row r="68" spans="1:17" s="468" customFormat="1" ht="15.75" customHeight="1">
      <c r="A68" s="490" t="str">
        <f>'Zbiorczo-paragr'!A661:D661</f>
        <v>WYDATKI OGÓŁEM</v>
      </c>
      <c r="B68" s="491"/>
      <c r="C68" s="491"/>
      <c r="D68" s="492"/>
      <c r="E68" s="470" t="e">
        <f>E44+E51</f>
        <v>#REF!</v>
      </c>
      <c r="F68" s="470">
        <f>F44+F51+F66</f>
        <v>2656251</v>
      </c>
      <c r="G68" s="470">
        <f>G44+G51+G66</f>
        <v>2972459</v>
      </c>
      <c r="H68" s="471">
        <f>SUM(G68/F68)</f>
        <v>1.11904296694853</v>
      </c>
      <c r="I68" s="23" t="e">
        <f t="shared" si="1"/>
        <v>#REF!</v>
      </c>
      <c r="J68" s="472"/>
      <c r="K68" s="472"/>
      <c r="L68" s="473"/>
      <c r="M68" s="473"/>
      <c r="N68" s="473"/>
      <c r="O68" s="473"/>
      <c r="P68" s="473"/>
      <c r="Q68" s="473"/>
    </row>
    <row r="69" spans="1:17" s="468" customFormat="1" ht="15.75" customHeight="1">
      <c r="B69" s="474"/>
      <c r="C69" s="474"/>
      <c r="D69" s="474"/>
      <c r="E69" s="475"/>
      <c r="F69" s="476"/>
      <c r="G69" s="476"/>
      <c r="H69" s="477"/>
      <c r="I69" s="477"/>
      <c r="J69" s="473"/>
      <c r="K69" s="473"/>
      <c r="L69" s="473"/>
      <c r="M69" s="473"/>
      <c r="N69" s="473"/>
      <c r="O69" s="473"/>
      <c r="P69" s="473"/>
      <c r="Q69" s="473"/>
    </row>
    <row r="70" spans="1:17" ht="15" hidden="1" customHeight="1">
      <c r="A70" s="529" t="s">
        <v>127</v>
      </c>
      <c r="B70" s="518"/>
      <c r="C70" s="518"/>
      <c r="D70" s="518"/>
      <c r="E70" s="518"/>
      <c r="F70" s="518"/>
      <c r="G70" s="494"/>
      <c r="H70" s="494"/>
      <c r="I70" s="47"/>
      <c r="J70" s="47"/>
      <c r="K70" s="47"/>
      <c r="L70" s="47"/>
      <c r="M70" s="47"/>
      <c r="N70" s="47"/>
      <c r="O70" s="47"/>
      <c r="P70" s="47"/>
      <c r="Q70" s="47"/>
    </row>
    <row r="71" spans="1:17" ht="18" hidden="1" customHeight="1">
      <c r="A71" s="483" t="s">
        <v>110</v>
      </c>
      <c r="B71" s="483"/>
      <c r="C71" s="483"/>
      <c r="D71" s="483"/>
      <c r="E71" s="483"/>
      <c r="F71" s="483"/>
      <c r="G71" s="518"/>
      <c r="H71" s="518"/>
    </row>
    <row r="72" spans="1:17" ht="25.5" hidden="1" customHeight="1">
      <c r="A72" s="483" t="s">
        <v>819</v>
      </c>
      <c r="B72" s="483"/>
      <c r="C72" s="483"/>
      <c r="D72" s="483"/>
      <c r="E72" s="483"/>
      <c r="F72" s="518"/>
      <c r="G72" s="518"/>
      <c r="H72" s="518"/>
    </row>
    <row r="73" spans="1:17" ht="18.75" hidden="1" customHeight="1">
      <c r="A73" s="483" t="s">
        <v>441</v>
      </c>
      <c r="B73" s="483"/>
      <c r="C73" s="483"/>
      <c r="D73" s="483"/>
    </row>
    <row r="74" spans="1:17" ht="15" hidden="1" customHeight="1">
      <c r="A74" s="493" t="s">
        <v>97</v>
      </c>
      <c r="B74" s="575"/>
      <c r="C74" s="575"/>
      <c r="D74" s="85">
        <f>SUM('ZS Mich'!D188)</f>
        <v>41228</v>
      </c>
    </row>
    <row r="75" spans="1:17" ht="15" hidden="1" customHeight="1">
      <c r="A75" s="481" t="s">
        <v>419</v>
      </c>
      <c r="B75" s="481"/>
      <c r="C75" s="481"/>
      <c r="D75" s="481"/>
    </row>
    <row r="76" spans="1:17" ht="15" hidden="1" customHeight="1">
      <c r="A76" s="483" t="s">
        <v>72</v>
      </c>
      <c r="B76" s="483"/>
      <c r="C76" s="483"/>
      <c r="D76" s="483"/>
    </row>
    <row r="77" spans="1:17" ht="15" hidden="1" customHeight="1">
      <c r="A77" s="483" t="s">
        <v>70</v>
      </c>
      <c r="B77" s="483"/>
      <c r="C77" s="483"/>
      <c r="D77" s="483"/>
    </row>
    <row r="78" spans="1:17" ht="15" hidden="1" customHeight="1">
      <c r="A78" s="483" t="s">
        <v>352</v>
      </c>
      <c r="B78" s="483"/>
      <c r="C78" s="483"/>
      <c r="D78" s="483"/>
    </row>
    <row r="79" spans="1:17" ht="15" hidden="1" customHeight="1">
      <c r="A79" s="483" t="s">
        <v>71</v>
      </c>
      <c r="B79" s="483"/>
      <c r="C79" s="483"/>
      <c r="D79" s="483"/>
    </row>
    <row r="80" spans="1:17" ht="15" hidden="1" customHeight="1">
      <c r="C80" s="52">
        <v>3020</v>
      </c>
      <c r="D80" s="78">
        <v>7800</v>
      </c>
    </row>
    <row r="81" spans="1:10" ht="15" hidden="1" customHeight="1">
      <c r="C81" s="52">
        <v>4010</v>
      </c>
      <c r="D81" s="78">
        <v>45000</v>
      </c>
      <c r="H81" s="52">
        <f>3740*4</f>
        <v>14960</v>
      </c>
      <c r="J81" s="52">
        <f>15000+8500+12000+68000</f>
        <v>103500</v>
      </c>
    </row>
    <row r="82" spans="1:10" ht="15" hidden="1" customHeight="1">
      <c r="C82" s="52">
        <v>4110</v>
      </c>
      <c r="D82" s="78">
        <v>9300</v>
      </c>
      <c r="H82" s="52">
        <f>474*4</f>
        <v>1896</v>
      </c>
    </row>
    <row r="83" spans="1:10" ht="15" hidden="1" customHeight="1">
      <c r="C83" s="52">
        <v>4120</v>
      </c>
      <c r="D83" s="78">
        <v>1300</v>
      </c>
      <c r="H83" s="52">
        <f>723*4</f>
        <v>2892</v>
      </c>
    </row>
    <row r="84" spans="1:10" ht="15" hidden="1" customHeight="1">
      <c r="D84" s="78">
        <f>SUM(D80:D83)</f>
        <v>63400</v>
      </c>
      <c r="H84" s="52">
        <f>103*4</f>
        <v>412</v>
      </c>
    </row>
    <row r="85" spans="1:10" ht="15" hidden="1" customHeight="1">
      <c r="A85" s="481" t="s">
        <v>150</v>
      </c>
      <c r="B85" s="571"/>
      <c r="C85" s="571"/>
      <c r="D85" s="571"/>
    </row>
    <row r="86" spans="1:10" ht="15" customHeight="1">
      <c r="F86" s="72"/>
    </row>
    <row r="87" spans="1:10" ht="15" customHeight="1">
      <c r="G87" s="72"/>
    </row>
  </sheetData>
  <mergeCells count="19">
    <mergeCell ref="A85:D85"/>
    <mergeCell ref="A1:H1"/>
    <mergeCell ref="A44:D44"/>
    <mergeCell ref="A68:D68"/>
    <mergeCell ref="A51:D51"/>
    <mergeCell ref="A67:D67"/>
    <mergeCell ref="A73:D73"/>
    <mergeCell ref="A74:C74"/>
    <mergeCell ref="A70:H70"/>
    <mergeCell ref="A52:A65"/>
    <mergeCell ref="B52:B65"/>
    <mergeCell ref="A77:D77"/>
    <mergeCell ref="A79:D79"/>
    <mergeCell ref="A78:D78"/>
    <mergeCell ref="A71:H71"/>
    <mergeCell ref="A72:H72"/>
    <mergeCell ref="A75:D75"/>
    <mergeCell ref="A76:D76"/>
    <mergeCell ref="A66:D66"/>
  </mergeCells>
  <phoneticPr fontId="4" type="noConversion"/>
  <pageMargins left="0.39370078740157483" right="0.19685039370078741" top="0.98425196850393704" bottom="0.98425196850393704" header="0.51181102362204722" footer="0.51181102362204722"/>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sheetPr codeName="Arkusz4"/>
  <dimension ref="A1:L257"/>
  <sheetViews>
    <sheetView showGridLines="0" topLeftCell="A121" zoomScaleNormal="100" zoomScaleSheetLayoutView="100" workbookViewId="0">
      <selection activeCell="L78" sqref="L78"/>
    </sheetView>
  </sheetViews>
  <sheetFormatPr defaultRowHeight="15"/>
  <cols>
    <col min="1" max="1" width="4.140625" style="52" customWidth="1"/>
    <col min="2" max="2" width="6.5703125" style="52" customWidth="1"/>
    <col min="3" max="3" width="4.85546875" style="52" customWidth="1"/>
    <col min="4" max="4" width="71.140625" style="52" customWidth="1"/>
    <col min="5" max="5" width="14.5703125" style="52" customWidth="1"/>
    <col min="6" max="6" width="14.7109375" style="52" customWidth="1"/>
    <col min="7" max="7" width="9.5703125" style="52" customWidth="1"/>
    <col min="8" max="8" width="14.28515625" style="1" hidden="1" customWidth="1"/>
    <col min="9" max="9" width="10" style="52" bestFit="1" customWidth="1"/>
    <col min="10" max="10" width="11.5703125" style="52" bestFit="1" customWidth="1"/>
    <col min="11" max="11" width="9.140625" style="52"/>
    <col min="12" max="12" width="9.42578125" style="52" bestFit="1" customWidth="1"/>
    <col min="13" max="16384" width="9.140625" style="52"/>
  </cols>
  <sheetData>
    <row r="1" spans="1:10" s="48" customFormat="1" ht="16.5" customHeight="1">
      <c r="A1" s="526" t="s">
        <v>717</v>
      </c>
      <c r="B1" s="526"/>
      <c r="C1" s="526"/>
      <c r="D1" s="526"/>
      <c r="E1" s="526"/>
      <c r="F1" s="526"/>
      <c r="G1" s="47"/>
      <c r="H1" s="41"/>
    </row>
    <row r="2" spans="1:10" s="48" customFormat="1" ht="46.5" customHeight="1">
      <c r="A2" s="15" t="s">
        <v>287</v>
      </c>
      <c r="B2" s="15" t="s">
        <v>406</v>
      </c>
      <c r="C2" s="15" t="s">
        <v>368</v>
      </c>
      <c r="D2" s="49" t="s">
        <v>367</v>
      </c>
      <c r="E2" s="16" t="s">
        <v>687</v>
      </c>
      <c r="F2" s="16" t="s">
        <v>688</v>
      </c>
      <c r="G2" s="16" t="s">
        <v>331</v>
      </c>
      <c r="H2" s="42" t="s">
        <v>384</v>
      </c>
    </row>
    <row r="3" spans="1:10" ht="15.75">
      <c r="A3" s="15">
        <f>'Zbiorczo-paragr'!A37</f>
        <v>801</v>
      </c>
      <c r="B3" s="15">
        <f>'Zbiorczo-paragr'!B37</f>
        <v>80101</v>
      </c>
      <c r="C3" s="15">
        <f>'Zbiorczo-paragr'!C39</f>
        <v>3020</v>
      </c>
      <c r="D3" s="57" t="str">
        <f>'Zbiorczo-paragr'!D39</f>
        <v xml:space="preserve">Wydatki osobowe nie zaliczone do wynagrodzeń  </v>
      </c>
      <c r="E3" s="108">
        <f>SUM(E4:E5)</f>
        <v>298662</v>
      </c>
      <c r="F3" s="108">
        <f>SUM(F4:F5)</f>
        <v>229200</v>
      </c>
      <c r="G3" s="70">
        <f>SUM(F3/E3)</f>
        <v>0.76742270526548406</v>
      </c>
      <c r="H3" s="43" t="e">
        <f>F3/#REF!</f>
        <v>#REF!</v>
      </c>
      <c r="J3" s="78"/>
    </row>
    <row r="4" spans="1:10" ht="18" customHeight="1">
      <c r="A4" s="15"/>
      <c r="B4" s="27"/>
      <c r="C4" s="27"/>
      <c r="D4" s="29" t="s">
        <v>778</v>
      </c>
      <c r="E4" s="108">
        <f>298662-E5</f>
        <v>292872</v>
      </c>
      <c r="F4" s="50">
        <f>245000-F147</f>
        <v>224500</v>
      </c>
      <c r="G4" s="70">
        <f t="shared" ref="G4:G57" si="0">SUM(F4/E4)</f>
        <v>0.76654647764210981</v>
      </c>
      <c r="H4" s="43" t="e">
        <f>F4/#REF!</f>
        <v>#REF!</v>
      </c>
      <c r="I4" s="72"/>
    </row>
    <row r="5" spans="1:10" ht="16.5" customHeight="1">
      <c r="A5" s="15"/>
      <c r="B5" s="27"/>
      <c r="C5" s="27"/>
      <c r="D5" s="29" t="s">
        <v>643</v>
      </c>
      <c r="E5" s="108">
        <v>5790</v>
      </c>
      <c r="F5" s="50">
        <v>4700</v>
      </c>
      <c r="G5" s="70">
        <f t="shared" si="0"/>
        <v>0.81174438687392059</v>
      </c>
      <c r="H5" s="43"/>
      <c r="I5" s="72"/>
    </row>
    <row r="6" spans="1:10" ht="15" customHeight="1">
      <c r="A6" s="15"/>
      <c r="B6" s="27"/>
      <c r="C6" s="27">
        <f>'Zbiorczo-paragr'!C46</f>
        <v>4010</v>
      </c>
      <c r="D6" s="27" t="str">
        <f>'Zbiorczo-paragr'!D46</f>
        <v xml:space="preserve">Wynagrodzenia osobowe pracowników                       </v>
      </c>
      <c r="E6" s="108">
        <f>SUM(E7:E8)</f>
        <v>3353979</v>
      </c>
      <c r="F6" s="50">
        <f>SUM(F7:F8)</f>
        <v>4357000</v>
      </c>
      <c r="G6" s="70">
        <f t="shared" si="0"/>
        <v>1.2990540489370983</v>
      </c>
      <c r="H6" s="43" t="e">
        <f>F6/#REF!</f>
        <v>#REF!</v>
      </c>
      <c r="I6" s="72"/>
    </row>
    <row r="7" spans="1:10" ht="31.5" customHeight="1">
      <c r="A7" s="15"/>
      <c r="B7" s="27"/>
      <c r="C7" s="27"/>
      <c r="D7" s="60" t="s">
        <v>779</v>
      </c>
      <c r="E7" s="108">
        <f>3353979-E8</f>
        <v>3312879</v>
      </c>
      <c r="F7" s="50">
        <f>4615000-F8-F149</f>
        <v>4171300</v>
      </c>
      <c r="G7" s="70">
        <f t="shared" si="0"/>
        <v>1.2591163154464742</v>
      </c>
      <c r="H7" s="43" t="e">
        <f>F7/#REF!</f>
        <v>#REF!</v>
      </c>
      <c r="I7" s="72"/>
    </row>
    <row r="8" spans="1:10" ht="17.25" customHeight="1">
      <c r="A8" s="15"/>
      <c r="B8" s="27"/>
      <c r="C8" s="27"/>
      <c r="D8" s="60" t="s">
        <v>752</v>
      </c>
      <c r="E8" s="108">
        <v>41100</v>
      </c>
      <c r="F8" s="50">
        <f>19500+34700+77000+54500</f>
        <v>185700</v>
      </c>
      <c r="G8" s="70">
        <f t="shared" si="0"/>
        <v>4.5182481751824817</v>
      </c>
      <c r="H8" s="43"/>
      <c r="I8" s="72"/>
    </row>
    <row r="9" spans="1:10" ht="29.25" customHeight="1">
      <c r="A9" s="15"/>
      <c r="B9" s="27"/>
      <c r="C9" s="27">
        <f>'Zbiorczo-paragr'!C53</f>
        <v>4040</v>
      </c>
      <c r="D9" s="27" t="s">
        <v>227</v>
      </c>
      <c r="E9" s="108">
        <v>248000</v>
      </c>
      <c r="F9" s="50">
        <v>310000</v>
      </c>
      <c r="G9" s="70">
        <f t="shared" si="0"/>
        <v>1.25</v>
      </c>
      <c r="H9" s="43" t="e">
        <f>F9/#REF!</f>
        <v>#REF!</v>
      </c>
      <c r="I9" s="72"/>
    </row>
    <row r="10" spans="1:10" ht="15.75" customHeight="1">
      <c r="A10" s="15"/>
      <c r="B10" s="27"/>
      <c r="C10" s="27">
        <f>'Zbiorczo-paragr'!C57</f>
        <v>4110</v>
      </c>
      <c r="D10" s="27" t="str">
        <f>'Zbiorczo-paragr'!D57</f>
        <v xml:space="preserve">Składki na ubezpieczenia społeczne                      </v>
      </c>
      <c r="E10" s="108">
        <v>703150</v>
      </c>
      <c r="F10" s="50">
        <f>890000-F151</f>
        <v>842000</v>
      </c>
      <c r="G10" s="70">
        <f t="shared" si="0"/>
        <v>1.1974685344521083</v>
      </c>
      <c r="H10" s="43" t="e">
        <f>F10/#REF!</f>
        <v>#REF!</v>
      </c>
      <c r="I10" s="72"/>
    </row>
    <row r="11" spans="1:10" ht="15.75" customHeight="1">
      <c r="A11" s="15"/>
      <c r="B11" s="27"/>
      <c r="C11" s="27">
        <f>'Zbiorczo-paragr'!C61</f>
        <v>4120</v>
      </c>
      <c r="D11" s="27" t="str">
        <f>'Zbiorczo-paragr'!D61</f>
        <v xml:space="preserve">Składki na Fundusz Pracy                                </v>
      </c>
      <c r="E11" s="108">
        <v>94626</v>
      </c>
      <c r="F11" s="50">
        <f>115000-F153</f>
        <v>108200</v>
      </c>
      <c r="G11" s="70">
        <f t="shared" si="0"/>
        <v>1.1434489463783739</v>
      </c>
      <c r="H11" s="43" t="e">
        <f>F11/#REF!</f>
        <v>#REF!</v>
      </c>
      <c r="I11" s="72"/>
    </row>
    <row r="12" spans="1:10" ht="15.75" customHeight="1">
      <c r="A12" s="15"/>
      <c r="B12" s="27"/>
      <c r="C12" s="27">
        <f>'Zbiorczo-paragr'!C65</f>
        <v>4140</v>
      </c>
      <c r="D12" s="27" t="str">
        <f>'Zbiorczo-paragr'!D65</f>
        <v>Wpłaty na PFRON</v>
      </c>
      <c r="E12" s="108">
        <v>5000</v>
      </c>
      <c r="F12" s="50">
        <v>0</v>
      </c>
      <c r="G12" s="70">
        <f t="shared" si="0"/>
        <v>0</v>
      </c>
      <c r="H12" s="43" t="e">
        <f>F12/#REF!</f>
        <v>#REF!</v>
      </c>
      <c r="I12" s="72"/>
    </row>
    <row r="13" spans="1:10" ht="15.75" customHeight="1">
      <c r="A13" s="15"/>
      <c r="B13" s="27"/>
      <c r="C13" s="27">
        <f>'Zbiorczo-paragr'!C69</f>
        <v>4170</v>
      </c>
      <c r="D13" s="27" t="str">
        <f>'Zbiorczo-paragr'!D69</f>
        <v>Wynagrodzenia bezosobowe</v>
      </c>
      <c r="E13" s="109">
        <f>SUM(E14)</f>
        <v>34500</v>
      </c>
      <c r="F13" s="53">
        <f>SUM(F14)</f>
        <v>30000</v>
      </c>
      <c r="G13" s="70">
        <f t="shared" si="0"/>
        <v>0.86956521739130432</v>
      </c>
      <c r="H13" s="43" t="e">
        <f>F13/#REF!</f>
        <v>#REF!</v>
      </c>
      <c r="I13" s="72"/>
    </row>
    <row r="14" spans="1:10" ht="30.75" customHeight="1">
      <c r="A14" s="15"/>
      <c r="B14" s="27"/>
      <c r="C14" s="27"/>
      <c r="D14" s="27" t="s">
        <v>552</v>
      </c>
      <c r="E14" s="108">
        <v>34500</v>
      </c>
      <c r="F14" s="50">
        <v>30000</v>
      </c>
      <c r="G14" s="70">
        <f t="shared" si="0"/>
        <v>0.86956521739130432</v>
      </c>
      <c r="H14" s="43" t="e">
        <f>F14/#REF!</f>
        <v>#REF!</v>
      </c>
      <c r="I14" s="72"/>
    </row>
    <row r="15" spans="1:10" ht="19.5" customHeight="1">
      <c r="A15" s="15"/>
      <c r="B15" s="27"/>
      <c r="C15" s="27">
        <v>4190</v>
      </c>
      <c r="D15" s="27" t="str">
        <f>'Zbiorczo-paragr'!D73</f>
        <v>Nagrody konkursowe</v>
      </c>
      <c r="E15" s="108">
        <f>E16</f>
        <v>1500</v>
      </c>
      <c r="F15" s="50">
        <f>F16</f>
        <v>1500</v>
      </c>
      <c r="G15" s="70">
        <f t="shared" si="0"/>
        <v>1</v>
      </c>
      <c r="H15" s="43"/>
      <c r="I15" s="72"/>
    </row>
    <row r="16" spans="1:10" ht="18" customHeight="1">
      <c r="A16" s="15"/>
      <c r="B16" s="27"/>
      <c r="C16" s="27"/>
      <c r="D16" s="27" t="s">
        <v>456</v>
      </c>
      <c r="E16" s="108">
        <v>1500</v>
      </c>
      <c r="F16" s="50">
        <v>1500</v>
      </c>
      <c r="G16" s="70">
        <f t="shared" si="0"/>
        <v>1</v>
      </c>
      <c r="H16" s="43"/>
      <c r="I16" s="72"/>
    </row>
    <row r="17" spans="1:9" ht="15" customHeight="1">
      <c r="A17" s="15"/>
      <c r="B17" s="27"/>
      <c r="C17" s="27">
        <f>'Zbiorczo-paragr'!C77</f>
        <v>4210</v>
      </c>
      <c r="D17" s="27" t="str">
        <f>'Zbiorczo-paragr'!D77</f>
        <v xml:space="preserve">Zakup materiałów i wyposażenia                          </v>
      </c>
      <c r="E17" s="108">
        <f>SUM(E18:E19)</f>
        <v>64920</v>
      </c>
      <c r="F17" s="50">
        <f>SUM(F18:F19)</f>
        <v>76000</v>
      </c>
      <c r="G17" s="70">
        <f t="shared" si="0"/>
        <v>1.1706715958102281</v>
      </c>
      <c r="H17" s="43" t="e">
        <f>F17/#REF!</f>
        <v>#REF!</v>
      </c>
      <c r="I17" s="72"/>
    </row>
    <row r="18" spans="1:9" ht="61.5" customHeight="1">
      <c r="A18" s="15"/>
      <c r="B18" s="27"/>
      <c r="C18" s="27"/>
      <c r="D18" s="21" t="s">
        <v>648</v>
      </c>
      <c r="E18" s="108">
        <v>64920</v>
      </c>
      <c r="F18" s="50">
        <v>76000</v>
      </c>
      <c r="G18" s="70">
        <f t="shared" si="0"/>
        <v>1.1706715958102281</v>
      </c>
      <c r="H18" s="43" t="e">
        <f>F18/#REF!</f>
        <v>#REF!</v>
      </c>
      <c r="I18" s="72"/>
    </row>
    <row r="19" spans="1:9" ht="15" hidden="1" customHeight="1">
      <c r="A19" s="15"/>
      <c r="B19" s="27"/>
      <c r="C19" s="27"/>
      <c r="D19" s="29" t="s">
        <v>381</v>
      </c>
      <c r="E19" s="108">
        <v>0</v>
      </c>
      <c r="F19" s="50">
        <v>0</v>
      </c>
      <c r="G19" s="70" t="e">
        <f t="shared" si="0"/>
        <v>#DIV/0!</v>
      </c>
      <c r="H19" s="43"/>
      <c r="I19" s="72"/>
    </row>
    <row r="20" spans="1:9" ht="15" customHeight="1">
      <c r="A20" s="15"/>
      <c r="B20" s="27"/>
      <c r="C20" s="27">
        <f>'Zbiorczo-paragr'!C84</f>
        <v>4220</v>
      </c>
      <c r="D20" s="27" t="str">
        <f>'Zbiorczo-paragr'!D84</f>
        <v xml:space="preserve">Zakup środków żywności    </v>
      </c>
      <c r="E20" s="108">
        <f>E21</f>
        <v>100</v>
      </c>
      <c r="F20" s="50">
        <f>F21</f>
        <v>150</v>
      </c>
      <c r="G20" s="70">
        <f t="shared" si="0"/>
        <v>1.5</v>
      </c>
      <c r="H20" s="43"/>
      <c r="I20" s="72"/>
    </row>
    <row r="21" spans="1:9" ht="15" customHeight="1">
      <c r="A21" s="15"/>
      <c r="B21" s="27"/>
      <c r="C21" s="27"/>
      <c r="D21" s="29" t="s">
        <v>493</v>
      </c>
      <c r="E21" s="108">
        <v>100</v>
      </c>
      <c r="F21" s="50">
        <v>150</v>
      </c>
      <c r="G21" s="70">
        <f t="shared" si="0"/>
        <v>1.5</v>
      </c>
      <c r="H21" s="43"/>
      <c r="I21" s="72"/>
    </row>
    <row r="22" spans="1:9" ht="15.75" customHeight="1">
      <c r="A22" s="15"/>
      <c r="B22" s="27"/>
      <c r="C22" s="27">
        <f>'Zbiorczo-paragr'!C88</f>
        <v>4240</v>
      </c>
      <c r="D22" s="27" t="s">
        <v>18</v>
      </c>
      <c r="E22" s="108">
        <f>SUM(E23:E23)</f>
        <v>66340</v>
      </c>
      <c r="F22" s="50">
        <f>SUM(F23:F23)</f>
        <v>30000</v>
      </c>
      <c r="G22" s="70">
        <f t="shared" si="0"/>
        <v>0.45221585770274342</v>
      </c>
      <c r="H22" s="43" t="e">
        <f>F22/#REF!</f>
        <v>#REF!</v>
      </c>
      <c r="I22" s="72"/>
    </row>
    <row r="23" spans="1:9" ht="18.75" customHeight="1">
      <c r="A23" s="15"/>
      <c r="B23" s="27"/>
      <c r="C23" s="27"/>
      <c r="D23" s="27" t="s">
        <v>544</v>
      </c>
      <c r="E23" s="108">
        <v>66340</v>
      </c>
      <c r="F23" s="50">
        <v>30000</v>
      </c>
      <c r="G23" s="70">
        <f t="shared" si="0"/>
        <v>0.45221585770274342</v>
      </c>
      <c r="H23" s="43"/>
      <c r="I23" s="72"/>
    </row>
    <row r="24" spans="1:9" ht="17.25" customHeight="1">
      <c r="A24" s="15"/>
      <c r="B24" s="27"/>
      <c r="C24" s="27">
        <f>'Zbiorczo-paragr'!C92</f>
        <v>4260</v>
      </c>
      <c r="D24" s="27" t="str">
        <f>'Zbiorczo-paragr'!D92</f>
        <v xml:space="preserve">Zakup energii                                           </v>
      </c>
      <c r="E24" s="109">
        <f>SUM(E25)</f>
        <v>431300</v>
      </c>
      <c r="F24" s="53">
        <f>SUM(F25)</f>
        <v>350000</v>
      </c>
      <c r="G24" s="70">
        <f t="shared" si="0"/>
        <v>0.81150011592858795</v>
      </c>
      <c r="H24" s="43" t="e">
        <f>F24/#REF!</f>
        <v>#REF!</v>
      </c>
      <c r="I24" s="72"/>
    </row>
    <row r="25" spans="1:9" ht="18.75" customHeight="1">
      <c r="A25" s="15"/>
      <c r="B25" s="27"/>
      <c r="C25" s="27"/>
      <c r="D25" s="27" t="s">
        <v>236</v>
      </c>
      <c r="E25" s="108">
        <v>431300</v>
      </c>
      <c r="F25" s="50">
        <v>350000</v>
      </c>
      <c r="G25" s="70">
        <f t="shared" si="0"/>
        <v>0.81150011592858795</v>
      </c>
      <c r="H25" s="43" t="e">
        <f>F25/#REF!</f>
        <v>#REF!</v>
      </c>
      <c r="I25" s="72"/>
    </row>
    <row r="26" spans="1:9" ht="17.25" customHeight="1">
      <c r="A26" s="15"/>
      <c r="B26" s="27"/>
      <c r="C26" s="27">
        <f>'Zbiorczo-paragr'!C96</f>
        <v>4270</v>
      </c>
      <c r="D26" s="27" t="str">
        <f>'Zbiorczo-paragr'!D96</f>
        <v xml:space="preserve">Zakup usług remontowych                                 </v>
      </c>
      <c r="E26" s="108">
        <f>SUM(E27:E28)</f>
        <v>9570</v>
      </c>
      <c r="F26" s="50">
        <f>SUM(F27:F28)</f>
        <v>10200</v>
      </c>
      <c r="G26" s="70">
        <f t="shared" si="0"/>
        <v>1.0658307210031348</v>
      </c>
      <c r="H26" s="43" t="e">
        <f>F26/#REF!</f>
        <v>#REF!</v>
      </c>
    </row>
    <row r="27" spans="1:9" ht="31.5" hidden="1" customHeight="1">
      <c r="A27" s="15"/>
      <c r="B27" s="27"/>
      <c r="C27" s="27"/>
      <c r="D27" s="89" t="s">
        <v>545</v>
      </c>
      <c r="E27" s="108">
        <v>0</v>
      </c>
      <c r="F27" s="50">
        <v>0</v>
      </c>
      <c r="G27" s="70" t="e">
        <f t="shared" si="0"/>
        <v>#DIV/0!</v>
      </c>
      <c r="H27" s="43" t="e">
        <f>F27/#REF!</f>
        <v>#REF!</v>
      </c>
    </row>
    <row r="28" spans="1:9" ht="30.75" customHeight="1">
      <c r="A28" s="15"/>
      <c r="B28" s="27"/>
      <c r="C28" s="27"/>
      <c r="D28" s="27" t="s">
        <v>172</v>
      </c>
      <c r="E28" s="108">
        <v>9570</v>
      </c>
      <c r="F28" s="50">
        <v>10200</v>
      </c>
      <c r="G28" s="70">
        <f t="shared" si="0"/>
        <v>1.0658307210031348</v>
      </c>
      <c r="H28" s="43" t="e">
        <f>F28/#REF!</f>
        <v>#REF!</v>
      </c>
    </row>
    <row r="29" spans="1:9" ht="15.75" customHeight="1">
      <c r="A29" s="15"/>
      <c r="B29" s="27"/>
      <c r="C29" s="27">
        <f>'Zbiorczo-paragr'!C103</f>
        <v>4280</v>
      </c>
      <c r="D29" s="27" t="str">
        <f>'Zbiorczo-paragr'!D103</f>
        <v>Zakup usług zdrowotnych</v>
      </c>
      <c r="E29" s="108">
        <v>2500</v>
      </c>
      <c r="F29" s="50">
        <v>1500</v>
      </c>
      <c r="G29" s="70">
        <f t="shared" si="0"/>
        <v>0.6</v>
      </c>
      <c r="H29" s="43" t="e">
        <f>F29/#REF!</f>
        <v>#REF!</v>
      </c>
    </row>
    <row r="30" spans="1:9" ht="15" customHeight="1">
      <c r="A30" s="15"/>
      <c r="B30" s="27"/>
      <c r="C30" s="27">
        <f>'Zbiorczo-paragr'!C107</f>
        <v>4300</v>
      </c>
      <c r="D30" s="27" t="str">
        <f>'Zbiorczo-paragr'!D107</f>
        <v xml:space="preserve">Zakup usług pozostałych                                 </v>
      </c>
      <c r="E30" s="108">
        <f>SUM(E31)</f>
        <v>189993</v>
      </c>
      <c r="F30" s="50">
        <f>SUM(F31)</f>
        <v>215000</v>
      </c>
      <c r="G30" s="70">
        <f t="shared" si="0"/>
        <v>1.1316206386551084</v>
      </c>
      <c r="H30" s="43" t="e">
        <f>F30/#REF!</f>
        <v>#REF!</v>
      </c>
    </row>
    <row r="31" spans="1:9" ht="93.75" customHeight="1">
      <c r="A31" s="15"/>
      <c r="B31" s="27"/>
      <c r="C31" s="27"/>
      <c r="D31" s="27" t="s">
        <v>853</v>
      </c>
      <c r="E31" s="108">
        <v>189993</v>
      </c>
      <c r="F31" s="50">
        <v>215000</v>
      </c>
      <c r="G31" s="70">
        <f t="shared" si="0"/>
        <v>1.1316206386551084</v>
      </c>
      <c r="H31" s="43" t="e">
        <f>F31/#REF!</f>
        <v>#REF!</v>
      </c>
      <c r="I31" s="72"/>
    </row>
    <row r="32" spans="1:9" ht="18.75" customHeight="1">
      <c r="A32" s="15"/>
      <c r="B32" s="27"/>
      <c r="C32" s="27">
        <f>'Zbiorczo-paragr'!C111</f>
        <v>4360</v>
      </c>
      <c r="D32" s="27" t="str">
        <f>'Zbiorczo-paragr'!D111</f>
        <v xml:space="preserve">Opłaty z tytułu zakupu usług telekomunikacyjnych                                 </v>
      </c>
      <c r="E32" s="108">
        <f>SUM(E33)</f>
        <v>15000</v>
      </c>
      <c r="F32" s="50">
        <f>SUM(F33)</f>
        <v>13100</v>
      </c>
      <c r="G32" s="70">
        <f t="shared" si="0"/>
        <v>0.87333333333333329</v>
      </c>
      <c r="H32" s="43" t="e">
        <f>F32/#REF!</f>
        <v>#REF!</v>
      </c>
    </row>
    <row r="33" spans="1:9" ht="18" customHeight="1">
      <c r="A33" s="15"/>
      <c r="B33" s="27"/>
      <c r="C33" s="27"/>
      <c r="D33" s="27" t="s">
        <v>392</v>
      </c>
      <c r="E33" s="108">
        <v>15000</v>
      </c>
      <c r="F33" s="50">
        <v>13100</v>
      </c>
      <c r="G33" s="70">
        <f t="shared" si="0"/>
        <v>0.87333333333333329</v>
      </c>
      <c r="H33" s="43" t="e">
        <f>F33/#REF!</f>
        <v>#REF!</v>
      </c>
    </row>
    <row r="34" spans="1:9" ht="15.75" customHeight="1">
      <c r="A34" s="15"/>
      <c r="B34" s="27"/>
      <c r="C34" s="27">
        <f>'Zbiorczo-paragr'!C115</f>
        <v>4410</v>
      </c>
      <c r="D34" s="27" t="str">
        <f>'Zbiorczo-paragr'!D115</f>
        <v xml:space="preserve">Podróże służbowe krajowe                                </v>
      </c>
      <c r="E34" s="108">
        <f>SUM(E35)</f>
        <v>2000</v>
      </c>
      <c r="F34" s="50">
        <f>SUM(F35)</f>
        <v>2100</v>
      </c>
      <c r="G34" s="70">
        <f t="shared" si="0"/>
        <v>1.05</v>
      </c>
      <c r="H34" s="43" t="e">
        <f>F34/#REF!</f>
        <v>#REF!</v>
      </c>
    </row>
    <row r="35" spans="1:9" ht="45" customHeight="1">
      <c r="A35" s="15"/>
      <c r="B35" s="27"/>
      <c r="C35" s="27"/>
      <c r="D35" s="27" t="s">
        <v>221</v>
      </c>
      <c r="E35" s="108">
        <v>2000</v>
      </c>
      <c r="F35" s="50">
        <v>2100</v>
      </c>
      <c r="G35" s="70">
        <f t="shared" si="0"/>
        <v>1.05</v>
      </c>
      <c r="H35" s="43" t="e">
        <f>F35/#REF!</f>
        <v>#REF!</v>
      </c>
    </row>
    <row r="36" spans="1:9" ht="17.25" customHeight="1">
      <c r="A36" s="15"/>
      <c r="B36" s="27"/>
      <c r="C36" s="27">
        <f>'Zbiorczo-paragr'!C119</f>
        <v>4430</v>
      </c>
      <c r="D36" s="27" t="str">
        <f>'Zbiorczo-paragr'!D119</f>
        <v xml:space="preserve">Różne opłaty i składki                                  </v>
      </c>
      <c r="E36" s="108">
        <f>SUM(E37)</f>
        <v>3530</v>
      </c>
      <c r="F36" s="50">
        <f>SUM(F37)</f>
        <v>6000</v>
      </c>
      <c r="G36" s="70">
        <f t="shared" si="0"/>
        <v>1.6997167138810199</v>
      </c>
      <c r="H36" s="43" t="e">
        <f>F36/#REF!</f>
        <v>#REF!</v>
      </c>
    </row>
    <row r="37" spans="1:9" ht="15.75" customHeight="1">
      <c r="A37" s="15"/>
      <c r="B37" s="27"/>
      <c r="C37" s="27"/>
      <c r="D37" s="27" t="s">
        <v>355</v>
      </c>
      <c r="E37" s="108">
        <v>3530</v>
      </c>
      <c r="F37" s="50">
        <v>6000</v>
      </c>
      <c r="G37" s="70">
        <f t="shared" si="0"/>
        <v>1.6997167138810199</v>
      </c>
      <c r="H37" s="43" t="e">
        <f>F37/#REF!</f>
        <v>#REF!</v>
      </c>
      <c r="I37" s="72"/>
    </row>
    <row r="38" spans="1:9" ht="45.75" customHeight="1">
      <c r="A38" s="15"/>
      <c r="B38" s="27"/>
      <c r="C38" s="27">
        <f>'Zbiorczo-paragr'!C123</f>
        <v>4440</v>
      </c>
      <c r="D38" s="27" t="s">
        <v>16</v>
      </c>
      <c r="E38" s="108">
        <v>188711</v>
      </c>
      <c r="F38" s="50">
        <v>210308</v>
      </c>
      <c r="G38" s="70">
        <f t="shared" si="0"/>
        <v>1.1144448389336075</v>
      </c>
      <c r="H38" s="43" t="e">
        <f>F38/#REF!</f>
        <v>#REF!</v>
      </c>
    </row>
    <row r="39" spans="1:9" ht="14.25" customHeight="1">
      <c r="A39" s="15"/>
      <c r="B39" s="27"/>
      <c r="C39" s="28">
        <f>'Zbiorczo-paragr'!C127</f>
        <v>4700</v>
      </c>
      <c r="D39" s="29" t="s">
        <v>243</v>
      </c>
      <c r="E39" s="109">
        <f>SUM(E40)</f>
        <v>950</v>
      </c>
      <c r="F39" s="53">
        <f>SUM(F40)</f>
        <v>800</v>
      </c>
      <c r="G39" s="70">
        <f t="shared" si="0"/>
        <v>0.84210526315789469</v>
      </c>
      <c r="H39" s="43" t="e">
        <f>F39/#REF!</f>
        <v>#REF!</v>
      </c>
    </row>
    <row r="40" spans="1:9" ht="15.75">
      <c r="A40" s="15"/>
      <c r="B40" s="27"/>
      <c r="C40" s="28"/>
      <c r="D40" s="28" t="s">
        <v>17</v>
      </c>
      <c r="E40" s="108">
        <v>950</v>
      </c>
      <c r="F40" s="50">
        <f>600+200</f>
        <v>800</v>
      </c>
      <c r="G40" s="70">
        <f t="shared" si="0"/>
        <v>0.84210526315789469</v>
      </c>
      <c r="H40" s="43" t="e">
        <f>F40/#REF!</f>
        <v>#REF!</v>
      </c>
    </row>
    <row r="41" spans="1:9" ht="18" customHeight="1">
      <c r="A41" s="584" t="str">
        <f>'Zbiorczo-paragr'!A133:D133</f>
        <v>80101 Szkoły podstawowe : Razem</v>
      </c>
      <c r="B41" s="498"/>
      <c r="C41" s="498"/>
      <c r="D41" s="498"/>
      <c r="E41" s="110">
        <f>SUM(E3+E6+E9+E10+E11+E12+E13+E15+E17+E20+E22+E24+E26+E29+E30+E32+E34+E38+E39+E36)</f>
        <v>5714331</v>
      </c>
      <c r="F41" s="110">
        <f>SUM(F3+F6+F9+F10+F11+F12+F13+F15+F17+F20+F22+F24+F26+F29+F30+F32+F34+F38+F39+F36)</f>
        <v>6793058</v>
      </c>
      <c r="G41" s="71">
        <f t="shared" si="0"/>
        <v>1.188775728952348</v>
      </c>
      <c r="H41" s="43" t="e">
        <f>F41/#REF!</f>
        <v>#REF!</v>
      </c>
      <c r="I41" s="72"/>
    </row>
    <row r="42" spans="1:9" ht="15" customHeight="1">
      <c r="A42" s="27">
        <f>'Zbiorczo-paragr'!A134</f>
        <v>801</v>
      </c>
      <c r="B42" s="27">
        <f>'Zbiorczo-paragr'!B134</f>
        <v>80103</v>
      </c>
      <c r="C42" s="27">
        <f>'Zbiorczo-paragr'!C140</f>
        <v>3020</v>
      </c>
      <c r="D42" s="27" t="str">
        <f>'Zbiorczo-paragr'!D140</f>
        <v xml:space="preserve">Wydatki osobowe nie zaliczone do wynagrodzeń  </v>
      </c>
      <c r="E42" s="108">
        <f>SUM(E43:E44)</f>
        <v>13761</v>
      </c>
      <c r="F42" s="50">
        <f>SUM(F43:F44)</f>
        <v>12500</v>
      </c>
      <c r="G42" s="70">
        <f t="shared" si="0"/>
        <v>0.9083642177167357</v>
      </c>
      <c r="H42" s="43" t="e">
        <f>F42/#REF!</f>
        <v>#REF!</v>
      </c>
      <c r="I42" s="72"/>
    </row>
    <row r="43" spans="1:9" ht="19.899999999999999" customHeight="1">
      <c r="A43" s="27"/>
      <c r="B43" s="27"/>
      <c r="C43" s="27"/>
      <c r="D43" s="29" t="s">
        <v>780</v>
      </c>
      <c r="E43" s="108">
        <v>13761</v>
      </c>
      <c r="F43" s="50">
        <f>12500-F137</f>
        <v>12500</v>
      </c>
      <c r="G43" s="70">
        <f t="shared" si="0"/>
        <v>0.9083642177167357</v>
      </c>
      <c r="H43" s="43" t="e">
        <f>F43/#REF!</f>
        <v>#REF!</v>
      </c>
      <c r="I43" s="72"/>
    </row>
    <row r="44" spans="1:9" ht="18.600000000000001" hidden="1" customHeight="1">
      <c r="A44" s="27"/>
      <c r="B44" s="27"/>
      <c r="C44" s="27"/>
      <c r="D44" s="29" t="s">
        <v>540</v>
      </c>
      <c r="E44" s="108">
        <v>0</v>
      </c>
      <c r="F44" s="50">
        <v>0</v>
      </c>
      <c r="G44" s="70" t="e">
        <f t="shared" si="0"/>
        <v>#DIV/0!</v>
      </c>
      <c r="H44" s="43"/>
      <c r="I44" s="72"/>
    </row>
    <row r="45" spans="1:9" ht="15.75" customHeight="1">
      <c r="A45" s="27"/>
      <c r="B45" s="27"/>
      <c r="C45" s="27">
        <f>'Zbiorczo-paragr'!C144</f>
        <v>4010</v>
      </c>
      <c r="D45" s="27" t="str">
        <f>'Zbiorczo-paragr'!D144</f>
        <v xml:space="preserve">Wynagrodzenia osobowe pracowników                       </v>
      </c>
      <c r="E45" s="108">
        <f>SUM(E46+E47)</f>
        <v>163891</v>
      </c>
      <c r="F45" s="50">
        <f>SUM(F46+F47)</f>
        <v>185500</v>
      </c>
      <c r="G45" s="70">
        <f t="shared" si="0"/>
        <v>1.1318498270191775</v>
      </c>
      <c r="H45" s="43" t="e">
        <f>F45/#REF!</f>
        <v>#REF!</v>
      </c>
      <c r="I45" s="72"/>
    </row>
    <row r="46" spans="1:9" ht="20.25" customHeight="1">
      <c r="A46" s="27"/>
      <c r="B46" s="27"/>
      <c r="C46" s="27"/>
      <c r="D46" s="60" t="s">
        <v>650</v>
      </c>
      <c r="E46" s="108">
        <f>163891-E47</f>
        <v>163391</v>
      </c>
      <c r="F46" s="50">
        <v>185500</v>
      </c>
      <c r="G46" s="70">
        <f t="shared" si="0"/>
        <v>1.1353134505572522</v>
      </c>
      <c r="H46" s="46" t="e">
        <f>F46/#REF!</f>
        <v>#REF!</v>
      </c>
      <c r="I46" s="62"/>
    </row>
    <row r="47" spans="1:9" ht="15.75" customHeight="1">
      <c r="A47" s="27"/>
      <c r="B47" s="27"/>
      <c r="C47" s="27"/>
      <c r="D47" s="29" t="s">
        <v>649</v>
      </c>
      <c r="E47" s="108">
        <v>500</v>
      </c>
      <c r="F47" s="50">
        <v>0</v>
      </c>
      <c r="G47" s="70">
        <f t="shared" si="0"/>
        <v>0</v>
      </c>
      <c r="H47" s="43"/>
    </row>
    <row r="48" spans="1:9" ht="29.25" customHeight="1">
      <c r="A48" s="27"/>
      <c r="B48" s="27"/>
      <c r="C48" s="27">
        <f>'Zbiorczo-paragr'!C151</f>
        <v>4040</v>
      </c>
      <c r="D48" s="27" t="s">
        <v>227</v>
      </c>
      <c r="E48" s="108">
        <v>13500</v>
      </c>
      <c r="F48" s="50">
        <v>13500</v>
      </c>
      <c r="G48" s="70">
        <f t="shared" si="0"/>
        <v>1</v>
      </c>
      <c r="H48" s="43" t="e">
        <f>F48/#REF!</f>
        <v>#REF!</v>
      </c>
    </row>
    <row r="49" spans="1:10" ht="16.5" customHeight="1">
      <c r="A49" s="27"/>
      <c r="B49" s="27"/>
      <c r="C49" s="27">
        <f>'Zbiorczo-paragr'!C155</f>
        <v>4110</v>
      </c>
      <c r="D49" s="27" t="str">
        <f>'Zbiorczo-paragr'!D155</f>
        <v xml:space="preserve">Składki na ubezpieczenia społeczne                      </v>
      </c>
      <c r="E49" s="108">
        <v>34477</v>
      </c>
      <c r="F49" s="50">
        <v>37000</v>
      </c>
      <c r="G49" s="70">
        <f t="shared" si="0"/>
        <v>1.0731792209298954</v>
      </c>
      <c r="H49" s="43" t="e">
        <f>F49/#REF!</f>
        <v>#REF!</v>
      </c>
    </row>
    <row r="50" spans="1:10" ht="17.25" customHeight="1">
      <c r="A50" s="27"/>
      <c r="B50" s="27"/>
      <c r="C50" s="27">
        <f>'Zbiorczo-paragr'!C159</f>
        <v>4120</v>
      </c>
      <c r="D50" s="27" t="str">
        <f>'Zbiorczo-paragr'!D159</f>
        <v xml:space="preserve">Składki na Fundusz Pracy                                </v>
      </c>
      <c r="E50" s="108">
        <v>4380</v>
      </c>
      <c r="F50" s="50">
        <v>4800</v>
      </c>
      <c r="G50" s="70">
        <f t="shared" si="0"/>
        <v>1.095890410958904</v>
      </c>
      <c r="H50" s="43" t="e">
        <f>F50/#REF!</f>
        <v>#REF!</v>
      </c>
    </row>
    <row r="51" spans="1:10" ht="17.25" hidden="1" customHeight="1">
      <c r="A51" s="27"/>
      <c r="B51" s="27"/>
      <c r="C51" s="27">
        <f>'Zbiorczo-paragr'!C163</f>
        <v>4190</v>
      </c>
      <c r="D51" s="27" t="str">
        <f>'Zbiorczo-paragr'!D163</f>
        <v>Nagrody konkursowe</v>
      </c>
      <c r="E51" s="108">
        <f>E52</f>
        <v>0</v>
      </c>
      <c r="F51" s="50">
        <f>F52</f>
        <v>0</v>
      </c>
      <c r="G51" s="70" t="e">
        <f t="shared" si="0"/>
        <v>#DIV/0!</v>
      </c>
      <c r="H51" s="43"/>
    </row>
    <row r="52" spans="1:10" ht="17.25" hidden="1" customHeight="1">
      <c r="A52" s="27"/>
      <c r="B52" s="27"/>
      <c r="C52" s="27"/>
      <c r="D52" s="27" t="s">
        <v>456</v>
      </c>
      <c r="E52" s="108">
        <v>0</v>
      </c>
      <c r="F52" s="50">
        <v>0</v>
      </c>
      <c r="G52" s="70" t="e">
        <f t="shared" si="0"/>
        <v>#DIV/0!</v>
      </c>
      <c r="H52" s="43"/>
    </row>
    <row r="53" spans="1:10" ht="16.5" customHeight="1">
      <c r="A53" s="27"/>
      <c r="B53" s="27"/>
      <c r="C53" s="27">
        <f>'Zbiorczo-paragr'!C167</f>
        <v>4210</v>
      </c>
      <c r="D53" s="27" t="str">
        <f>'Zbiorczo-paragr'!D167</f>
        <v xml:space="preserve">Zakup materiałów i wyposażenia                          </v>
      </c>
      <c r="E53" s="109">
        <f>SUM(E54)</f>
        <v>6000</v>
      </c>
      <c r="F53" s="53">
        <f>SUM(F54)</f>
        <v>1000</v>
      </c>
      <c r="G53" s="70">
        <f t="shared" si="0"/>
        <v>0.16666666666666666</v>
      </c>
      <c r="H53" s="43" t="e">
        <f>F53/#REF!</f>
        <v>#REF!</v>
      </c>
      <c r="J53" s="52" t="s">
        <v>40</v>
      </c>
    </row>
    <row r="54" spans="1:10" ht="17.25" customHeight="1">
      <c r="A54" s="27"/>
      <c r="B54" s="27"/>
      <c r="C54" s="27"/>
      <c r="D54" s="27" t="s">
        <v>5</v>
      </c>
      <c r="E54" s="108">
        <v>6000</v>
      </c>
      <c r="F54" s="50">
        <v>1000</v>
      </c>
      <c r="G54" s="70">
        <f t="shared" si="0"/>
        <v>0.16666666666666666</v>
      </c>
      <c r="H54" s="43" t="e">
        <f>F54/#REF!</f>
        <v>#REF!</v>
      </c>
    </row>
    <row r="55" spans="1:10" ht="15" customHeight="1">
      <c r="A55" s="27"/>
      <c r="B55" s="27"/>
      <c r="C55" s="27">
        <f>'Zbiorczo-paragr'!C171</f>
        <v>4240</v>
      </c>
      <c r="D55" s="27" t="str">
        <f>'Zbiorczo-paragr'!D171</f>
        <v xml:space="preserve">Zakup pomocy naukowych, dydaktycznych i książek         </v>
      </c>
      <c r="E55" s="108">
        <v>5000</v>
      </c>
      <c r="F55" s="50">
        <v>3500</v>
      </c>
      <c r="G55" s="70">
        <f t="shared" si="0"/>
        <v>0.7</v>
      </c>
      <c r="H55" s="43" t="e">
        <f>F55/#REF!</f>
        <v>#REF!</v>
      </c>
    </row>
    <row r="56" spans="1:10" ht="15" customHeight="1">
      <c r="A56" s="27"/>
      <c r="B56" s="27"/>
      <c r="C56" s="27">
        <v>4300</v>
      </c>
      <c r="D56" s="27" t="str">
        <f>'Zbiorczo-paragr'!D175</f>
        <v xml:space="preserve">Zakup usług pozostałych                                 </v>
      </c>
      <c r="E56" s="108">
        <f>E57</f>
        <v>500</v>
      </c>
      <c r="F56" s="50">
        <f>F57</f>
        <v>500</v>
      </c>
      <c r="G56" s="70">
        <f t="shared" si="0"/>
        <v>1</v>
      </c>
      <c r="H56" s="43" t="e">
        <f>F56/#REF!</f>
        <v>#REF!</v>
      </c>
    </row>
    <row r="57" spans="1:10" ht="15" customHeight="1">
      <c r="A57" s="27"/>
      <c r="B57" s="27"/>
      <c r="C57" s="27"/>
      <c r="D57" s="27" t="s">
        <v>653</v>
      </c>
      <c r="E57" s="108">
        <v>500</v>
      </c>
      <c r="F57" s="50">
        <v>500</v>
      </c>
      <c r="G57" s="70">
        <f t="shared" si="0"/>
        <v>1</v>
      </c>
      <c r="H57" s="43" t="e">
        <f>F57/#REF!</f>
        <v>#REF!</v>
      </c>
    </row>
    <row r="58" spans="1:10" ht="29.25" customHeight="1">
      <c r="A58" s="27"/>
      <c r="B58" s="27"/>
      <c r="C58" s="27">
        <f>'Zbiorczo-paragr'!C179</f>
        <v>4440</v>
      </c>
      <c r="D58" s="27" t="s">
        <v>339</v>
      </c>
      <c r="E58" s="108">
        <v>10889</v>
      </c>
      <c r="F58" s="50">
        <v>14607</v>
      </c>
      <c r="G58" s="70">
        <f>SUM(F58/E58)</f>
        <v>1.3414454954541279</v>
      </c>
      <c r="H58" s="43" t="e">
        <f>F58/#REF!</f>
        <v>#REF!</v>
      </c>
    </row>
    <row r="59" spans="1:10" ht="16.5" customHeight="1">
      <c r="A59" s="490" t="str">
        <f>'Zbiorczo-paragr'!A183:D183</f>
        <v>80103 Oddziały przedszkolne w szkołach podstawowych : Razem</v>
      </c>
      <c r="B59" s="491"/>
      <c r="C59" s="491"/>
      <c r="D59" s="492"/>
      <c r="E59" s="110">
        <f>E42+E45+E48+E49+E50+E51+E53+E55+E56+E58</f>
        <v>252398</v>
      </c>
      <c r="F59" s="110">
        <f>F42+F45+F48+F49+F50+F51+F53+F55+F56+F58</f>
        <v>272907</v>
      </c>
      <c r="G59" s="71">
        <f>SUM(F59/E59)</f>
        <v>1.0812565868192299</v>
      </c>
      <c r="H59" s="43" t="e">
        <f>F59/#REF!</f>
        <v>#REF!</v>
      </c>
      <c r="I59" s="72"/>
    </row>
    <row r="60" spans="1:10" ht="17.25" customHeight="1">
      <c r="A60" s="27">
        <f>'Zbiorczo-paragr'!A316</f>
        <v>801</v>
      </c>
      <c r="B60" s="27">
        <f>'Zbiorczo-paragr'!B316</f>
        <v>80110</v>
      </c>
      <c r="C60" s="27">
        <f>'Zbiorczo-paragr'!C316</f>
        <v>3020</v>
      </c>
      <c r="D60" s="27" t="str">
        <f>'Zbiorczo-paragr'!D316</f>
        <v xml:space="preserve"> Wydatki osobowe nie zaliczone do wynagrodzeń  </v>
      </c>
      <c r="E60" s="108">
        <f>SUM(E61:E62)</f>
        <v>56920</v>
      </c>
      <c r="F60" s="50">
        <f>SUM(F61:F62)</f>
        <v>22100</v>
      </c>
      <c r="G60" s="70">
        <f>SUM(F60/E60)</f>
        <v>0.38826423049894587</v>
      </c>
      <c r="H60" s="43" t="e">
        <f>F60/#REF!</f>
        <v>#REF!</v>
      </c>
      <c r="I60" s="72"/>
    </row>
    <row r="61" spans="1:10" ht="21" customHeight="1">
      <c r="A61" s="15"/>
      <c r="B61" s="27"/>
      <c r="C61" s="27"/>
      <c r="D61" s="29" t="s">
        <v>780</v>
      </c>
      <c r="E61" s="108">
        <f>56920-E62</f>
        <v>52920</v>
      </c>
      <c r="F61" s="50">
        <f>23000-F62-F167</f>
        <v>21600</v>
      </c>
      <c r="G61" s="70">
        <f t="shared" ref="G61:G90" si="1">SUM(F61/E61)</f>
        <v>0.40816326530612246</v>
      </c>
      <c r="H61" s="43" t="e">
        <f>F61/#REF!</f>
        <v>#REF!</v>
      </c>
      <c r="I61" s="78"/>
    </row>
    <row r="62" spans="1:10" ht="15" customHeight="1">
      <c r="A62" s="15"/>
      <c r="B62" s="27"/>
      <c r="C62" s="27"/>
      <c r="D62" s="29" t="s">
        <v>613</v>
      </c>
      <c r="E62" s="108">
        <v>4000</v>
      </c>
      <c r="F62" s="50">
        <v>500</v>
      </c>
      <c r="G62" s="70">
        <f t="shared" si="1"/>
        <v>0.125</v>
      </c>
      <c r="H62" s="43"/>
    </row>
    <row r="63" spans="1:10" ht="14.25" customHeight="1">
      <c r="A63" s="15"/>
      <c r="B63" s="27"/>
      <c r="C63" s="27">
        <f>'Zbiorczo-paragr'!C320</f>
        <v>4010</v>
      </c>
      <c r="D63" s="27" t="str">
        <f>'Zbiorczo-paragr'!D320</f>
        <v xml:space="preserve">Wynagrodzenia osobowe pracowników                       </v>
      </c>
      <c r="E63" s="108">
        <f>SUM(E64:E65)</f>
        <v>979127</v>
      </c>
      <c r="F63" s="50">
        <f>SUM(F64:F65)</f>
        <v>605000</v>
      </c>
      <c r="G63" s="70">
        <f t="shared" si="1"/>
        <v>0.61789737184246785</v>
      </c>
      <c r="H63" s="43" t="e">
        <f>F63/#REF!</f>
        <v>#REF!</v>
      </c>
      <c r="I63" s="78"/>
    </row>
    <row r="64" spans="1:10" ht="44.25" customHeight="1">
      <c r="A64" s="15"/>
      <c r="B64" s="27"/>
      <c r="C64" s="27"/>
      <c r="D64" s="60" t="s">
        <v>779</v>
      </c>
      <c r="E64" s="108">
        <f>979127-E65</f>
        <v>923427</v>
      </c>
      <c r="F64" s="50">
        <f>616000-F65-F170</f>
        <v>588400</v>
      </c>
      <c r="G64" s="70">
        <f t="shared" si="1"/>
        <v>0.63719167838930424</v>
      </c>
      <c r="H64" s="43" t="e">
        <f>F64/#REF!</f>
        <v>#REF!</v>
      </c>
      <c r="I64" s="78"/>
      <c r="J64" s="78"/>
    </row>
    <row r="65" spans="1:10" ht="17.25" customHeight="1">
      <c r="A65" s="15"/>
      <c r="B65" s="27"/>
      <c r="C65" s="27"/>
      <c r="D65" s="60" t="s">
        <v>751</v>
      </c>
      <c r="E65" s="108">
        <v>55700</v>
      </c>
      <c r="F65" s="50">
        <f>15000+1600</f>
        <v>16600</v>
      </c>
      <c r="G65" s="70">
        <f t="shared" si="1"/>
        <v>0.29802513464991021</v>
      </c>
      <c r="H65" s="43"/>
    </row>
    <row r="66" spans="1:10" ht="32.25" customHeight="1">
      <c r="A66" s="15"/>
      <c r="B66" s="27"/>
      <c r="C66" s="27">
        <f>'Zbiorczo-paragr'!C327</f>
        <v>4040</v>
      </c>
      <c r="D66" s="27" t="s">
        <v>227</v>
      </c>
      <c r="E66" s="108">
        <v>101000</v>
      </c>
      <c r="F66" s="50">
        <v>94000</v>
      </c>
      <c r="G66" s="70">
        <f t="shared" si="1"/>
        <v>0.93069306930693074</v>
      </c>
      <c r="H66" s="43" t="e">
        <f>F66/#REF!</f>
        <v>#REF!</v>
      </c>
    </row>
    <row r="67" spans="1:10" ht="15.75" customHeight="1">
      <c r="A67" s="15"/>
      <c r="B67" s="27"/>
      <c r="C67" s="27">
        <f>'Zbiorczo-paragr'!C331</f>
        <v>4110</v>
      </c>
      <c r="D67" s="27" t="str">
        <f>'Zbiorczo-paragr'!D331</f>
        <v xml:space="preserve">Składki na ubezpieczenia społeczne                      </v>
      </c>
      <c r="E67" s="108">
        <v>201366</v>
      </c>
      <c r="F67" s="50">
        <f>130000-F173</f>
        <v>128000</v>
      </c>
      <c r="G67" s="70">
        <f t="shared" si="1"/>
        <v>0.63565845276759736</v>
      </c>
      <c r="H67" s="43" t="e">
        <f>F67/#REF!</f>
        <v>#REF!</v>
      </c>
      <c r="I67" s="78"/>
      <c r="J67" s="78"/>
    </row>
    <row r="68" spans="1:10" ht="14.25" customHeight="1">
      <c r="A68" s="15"/>
      <c r="B68" s="27"/>
      <c r="C68" s="27">
        <f>'Zbiorczo-paragr'!C335</f>
        <v>4120</v>
      </c>
      <c r="D68" s="27" t="str">
        <f>'Zbiorczo-paragr'!D335</f>
        <v xml:space="preserve">Składki na Fundusz Pracy                                </v>
      </c>
      <c r="E68" s="108">
        <v>26034</v>
      </c>
      <c r="F68" s="50">
        <f>16000-F181</f>
        <v>15200</v>
      </c>
      <c r="G68" s="70">
        <f t="shared" si="1"/>
        <v>0.58385188599523696</v>
      </c>
      <c r="H68" s="43" t="e">
        <f>F68/#REF!</f>
        <v>#REF!</v>
      </c>
    </row>
    <row r="69" spans="1:10" ht="17.25" customHeight="1">
      <c r="A69" s="15"/>
      <c r="B69" s="27"/>
      <c r="C69" s="27">
        <f>'Zbiorczo-paragr'!C339</f>
        <v>4170</v>
      </c>
      <c r="D69" s="27" t="str">
        <f>'Zbiorczo-paragr'!D339</f>
        <v>Wynagrodzenia bezosobowe</v>
      </c>
      <c r="E69" s="109">
        <f>SUM(E70)</f>
        <v>3000</v>
      </c>
      <c r="F69" s="53">
        <f>SUM(F70)</f>
        <v>0</v>
      </c>
      <c r="G69" s="70">
        <f t="shared" si="1"/>
        <v>0</v>
      </c>
      <c r="H69" s="43" t="e">
        <f>F69/#REF!</f>
        <v>#REF!</v>
      </c>
      <c r="I69" s="78"/>
    </row>
    <row r="70" spans="1:10" ht="27.75" customHeight="1">
      <c r="A70" s="15"/>
      <c r="B70" s="27"/>
      <c r="C70" s="27"/>
      <c r="D70" s="27" t="s">
        <v>0</v>
      </c>
      <c r="E70" s="108">
        <v>3000</v>
      </c>
      <c r="F70" s="50">
        <v>0</v>
      </c>
      <c r="G70" s="70">
        <f t="shared" si="1"/>
        <v>0</v>
      </c>
      <c r="H70" s="43" t="e">
        <f>F70/#REF!</f>
        <v>#REF!</v>
      </c>
    </row>
    <row r="71" spans="1:10" ht="17.25" customHeight="1">
      <c r="A71" s="15"/>
      <c r="B71" s="27"/>
      <c r="C71" s="27">
        <v>4190</v>
      </c>
      <c r="D71" s="27" t="str">
        <f>'Zbiorczo-paragr'!D343</f>
        <v>Nagrody konkursowe</v>
      </c>
      <c r="E71" s="108">
        <f>E72</f>
        <v>600</v>
      </c>
      <c r="F71" s="50">
        <f>F72</f>
        <v>400</v>
      </c>
      <c r="G71" s="70">
        <f t="shared" si="1"/>
        <v>0.66666666666666663</v>
      </c>
      <c r="H71" s="43"/>
    </row>
    <row r="72" spans="1:10" ht="17.25" customHeight="1">
      <c r="A72" s="15"/>
      <c r="B72" s="27"/>
      <c r="C72" s="27"/>
      <c r="D72" s="27" t="s">
        <v>456</v>
      </c>
      <c r="E72" s="108">
        <v>600</v>
      </c>
      <c r="F72" s="50">
        <v>400</v>
      </c>
      <c r="G72" s="70">
        <f t="shared" si="1"/>
        <v>0.66666666666666663</v>
      </c>
      <c r="H72" s="43"/>
    </row>
    <row r="73" spans="1:10" ht="18" customHeight="1">
      <c r="A73" s="15"/>
      <c r="B73" s="27"/>
      <c r="C73" s="27">
        <f>'Zbiorczo-paragr'!C347</f>
        <v>4210</v>
      </c>
      <c r="D73" s="27" t="str">
        <f>'Zbiorczo-paragr'!D347</f>
        <v xml:space="preserve">Zakup materiałów i wyposażenia                          </v>
      </c>
      <c r="E73" s="108">
        <f>SUM(E74)</f>
        <v>26000</v>
      </c>
      <c r="F73" s="50">
        <f>SUM(F74)</f>
        <v>12600</v>
      </c>
      <c r="G73" s="70">
        <f t="shared" si="1"/>
        <v>0.48461538461538461</v>
      </c>
      <c r="H73" s="43" t="e">
        <f>F73/#REF!</f>
        <v>#REF!</v>
      </c>
    </row>
    <row r="74" spans="1:10" ht="43.5" customHeight="1">
      <c r="A74" s="15"/>
      <c r="B74" s="27"/>
      <c r="C74" s="27"/>
      <c r="D74" s="21" t="s">
        <v>661</v>
      </c>
      <c r="E74" s="108">
        <v>26000</v>
      </c>
      <c r="F74" s="50">
        <v>12600</v>
      </c>
      <c r="G74" s="70">
        <f t="shared" si="1"/>
        <v>0.48461538461538461</v>
      </c>
      <c r="H74" s="43" t="e">
        <f>F74/#REF!</f>
        <v>#REF!</v>
      </c>
    </row>
    <row r="75" spans="1:10" ht="16.5" customHeight="1">
      <c r="A75" s="15"/>
      <c r="B75" s="27"/>
      <c r="C75" s="27">
        <f>'Zbiorczo-paragr'!C355</f>
        <v>4240</v>
      </c>
      <c r="D75" s="27" t="str">
        <f>'Zbiorczo-paragr'!D355</f>
        <v xml:space="preserve">Zakup pomocy naukowych, dydaktycznych i książek         </v>
      </c>
      <c r="E75" s="108">
        <f>SUM(E76:E76)</f>
        <v>14000</v>
      </c>
      <c r="F75" s="50">
        <f>SUM(F76:F76)</f>
        <v>2700</v>
      </c>
      <c r="G75" s="70">
        <f t="shared" si="1"/>
        <v>0.19285714285714287</v>
      </c>
      <c r="H75" s="43" t="e">
        <f>F75/#REF!</f>
        <v>#REF!</v>
      </c>
    </row>
    <row r="76" spans="1:10" ht="16.5" customHeight="1">
      <c r="A76" s="15"/>
      <c r="B76" s="27"/>
      <c r="C76" s="27"/>
      <c r="D76" s="27" t="s">
        <v>320</v>
      </c>
      <c r="E76" s="108">
        <v>14000</v>
      </c>
      <c r="F76" s="50">
        <v>2700</v>
      </c>
      <c r="G76" s="70">
        <f t="shared" si="1"/>
        <v>0.19285714285714287</v>
      </c>
      <c r="H76" s="43"/>
    </row>
    <row r="77" spans="1:10" ht="18" customHeight="1">
      <c r="A77" s="15"/>
      <c r="B77" s="27"/>
      <c r="C77" s="27">
        <f>'Zbiorczo-paragr'!C359</f>
        <v>4270</v>
      </c>
      <c r="D77" s="27" t="str">
        <f>'Zbiorczo-paragr'!D359</f>
        <v xml:space="preserve">Zakup usług remontowych                                 </v>
      </c>
      <c r="E77" s="108">
        <f>SUM(E78:E79)</f>
        <v>6600</v>
      </c>
      <c r="F77" s="50">
        <f>SUM(F78:F79)</f>
        <v>1500</v>
      </c>
      <c r="G77" s="70">
        <f t="shared" si="1"/>
        <v>0.22727272727272727</v>
      </c>
      <c r="H77" s="43" t="e">
        <f>F77/#REF!</f>
        <v>#REF!</v>
      </c>
    </row>
    <row r="78" spans="1:10" ht="18.75" customHeight="1">
      <c r="A78" s="15"/>
      <c r="B78" s="27"/>
      <c r="C78" s="27"/>
      <c r="D78" s="60" t="s">
        <v>350</v>
      </c>
      <c r="E78" s="108">
        <v>6600</v>
      </c>
      <c r="F78" s="50">
        <v>1500</v>
      </c>
      <c r="G78" s="70">
        <f t="shared" si="1"/>
        <v>0.22727272727272727</v>
      </c>
      <c r="H78" s="43" t="e">
        <f>F78/#REF!</f>
        <v>#REF!</v>
      </c>
    </row>
    <row r="79" spans="1:10" ht="43.5" hidden="1" customHeight="1">
      <c r="A79" s="15"/>
      <c r="B79" s="27"/>
      <c r="C79" s="27"/>
      <c r="D79" s="29" t="s">
        <v>546</v>
      </c>
      <c r="E79" s="108">
        <v>0</v>
      </c>
      <c r="F79" s="50">
        <v>0</v>
      </c>
      <c r="G79" s="70" t="e">
        <f t="shared" si="1"/>
        <v>#DIV/0!</v>
      </c>
      <c r="H79" s="43" t="e">
        <f>F79/#REF!</f>
        <v>#REF!</v>
      </c>
    </row>
    <row r="80" spans="1:10" ht="29.25" customHeight="1">
      <c r="A80" s="15"/>
      <c r="B80" s="27"/>
      <c r="C80" s="27">
        <f>'Zbiorczo-paragr'!C365</f>
        <v>4280</v>
      </c>
      <c r="D80" s="27" t="s">
        <v>374</v>
      </c>
      <c r="E80" s="108">
        <v>1100</v>
      </c>
      <c r="F80" s="50">
        <v>200</v>
      </c>
      <c r="G80" s="70">
        <f t="shared" si="1"/>
        <v>0.18181818181818182</v>
      </c>
      <c r="H80" s="43" t="e">
        <f>F80/#REF!</f>
        <v>#REF!</v>
      </c>
    </row>
    <row r="81" spans="1:9" ht="18" customHeight="1">
      <c r="A81" s="15"/>
      <c r="B81" s="27"/>
      <c r="C81" s="27">
        <f>'Zbiorczo-paragr'!C369</f>
        <v>4300</v>
      </c>
      <c r="D81" s="27" t="str">
        <f>'Zbiorczo-paragr'!D369</f>
        <v xml:space="preserve">Zakup usług pozostałych                                 </v>
      </c>
      <c r="E81" s="108">
        <f>SUM(E82)</f>
        <v>10140</v>
      </c>
      <c r="F81" s="50">
        <f>SUM(F82)</f>
        <v>8200</v>
      </c>
      <c r="G81" s="70">
        <f t="shared" si="1"/>
        <v>0.80867850098619332</v>
      </c>
      <c r="H81" s="43" t="e">
        <f>F81/#REF!</f>
        <v>#REF!</v>
      </c>
    </row>
    <row r="82" spans="1:9" ht="45" customHeight="1">
      <c r="A82" s="15"/>
      <c r="B82" s="27"/>
      <c r="C82" s="27"/>
      <c r="D82" s="27" t="s">
        <v>781</v>
      </c>
      <c r="E82" s="108">
        <v>10140</v>
      </c>
      <c r="F82" s="50">
        <v>8200</v>
      </c>
      <c r="G82" s="70">
        <f t="shared" si="1"/>
        <v>0.80867850098619332</v>
      </c>
      <c r="H82" s="43" t="e">
        <f>F82/#REF!</f>
        <v>#REF!</v>
      </c>
    </row>
    <row r="83" spans="1:9" ht="14.25" customHeight="1">
      <c r="A83" s="15"/>
      <c r="B83" s="27"/>
      <c r="C83" s="27">
        <f>'Zbiorczo-paragr'!C376</f>
        <v>4410</v>
      </c>
      <c r="D83" s="27" t="str">
        <f>'Zbiorczo-paragr'!D376</f>
        <v xml:space="preserve">Podróże służbowe krajowe                                </v>
      </c>
      <c r="E83" s="108">
        <f>SUM(E84)</f>
        <v>370</v>
      </c>
      <c r="F83" s="50">
        <f>SUM(F84)</f>
        <v>150</v>
      </c>
      <c r="G83" s="70">
        <f t="shared" si="1"/>
        <v>0.40540540540540543</v>
      </c>
      <c r="H83" s="43" t="e">
        <f>F83/#REF!</f>
        <v>#REF!</v>
      </c>
    </row>
    <row r="84" spans="1:9" ht="17.25" customHeight="1">
      <c r="A84" s="15"/>
      <c r="B84" s="27"/>
      <c r="C84" s="27"/>
      <c r="D84" s="27" t="s">
        <v>125</v>
      </c>
      <c r="E84" s="108">
        <v>370</v>
      </c>
      <c r="F84" s="50">
        <v>150</v>
      </c>
      <c r="G84" s="70">
        <f t="shared" si="1"/>
        <v>0.40540540540540543</v>
      </c>
      <c r="H84" s="43" t="e">
        <f>F84/#REF!</f>
        <v>#REF!</v>
      </c>
    </row>
    <row r="85" spans="1:9" ht="18.75" customHeight="1">
      <c r="A85" s="15"/>
      <c r="B85" s="27"/>
      <c r="C85" s="27">
        <f>'Zbiorczo-paragr'!C382</f>
        <v>4430</v>
      </c>
      <c r="D85" s="27" t="str">
        <f>'Zbiorczo-paragr'!D382</f>
        <v xml:space="preserve">Różne opłaty i składki                                  </v>
      </c>
      <c r="E85" s="108">
        <f>SUM(E86)</f>
        <v>1640</v>
      </c>
      <c r="F85" s="50">
        <f>SUM(F86)</f>
        <v>0</v>
      </c>
      <c r="G85" s="70">
        <f t="shared" si="1"/>
        <v>0</v>
      </c>
      <c r="H85" s="43" t="e">
        <f>F85/#REF!</f>
        <v>#REF!</v>
      </c>
    </row>
    <row r="86" spans="1:9" ht="16.5" customHeight="1">
      <c r="A86" s="15"/>
      <c r="B86" s="27"/>
      <c r="C86" s="27"/>
      <c r="D86" s="27" t="s">
        <v>378</v>
      </c>
      <c r="E86" s="108">
        <v>1640</v>
      </c>
      <c r="F86" s="50">
        <v>0</v>
      </c>
      <c r="G86" s="70">
        <f t="shared" si="1"/>
        <v>0</v>
      </c>
      <c r="H86" s="43" t="e">
        <f>F86/#REF!</f>
        <v>#REF!</v>
      </c>
    </row>
    <row r="87" spans="1:9" ht="45.75" customHeight="1">
      <c r="A87" s="15"/>
      <c r="B87" s="27"/>
      <c r="C87" s="27">
        <f>'Zbiorczo-paragr'!C386</f>
        <v>4440</v>
      </c>
      <c r="D87" s="27" t="s">
        <v>16</v>
      </c>
      <c r="E87" s="108">
        <v>51862</v>
      </c>
      <c r="F87" s="50">
        <v>37335</v>
      </c>
      <c r="G87" s="70">
        <f t="shared" si="1"/>
        <v>0.71989124985538544</v>
      </c>
      <c r="H87" s="43" t="e">
        <f>F87/#REF!</f>
        <v>#REF!</v>
      </c>
    </row>
    <row r="88" spans="1:9" ht="16.5" customHeight="1">
      <c r="A88" s="15"/>
      <c r="B88" s="27"/>
      <c r="C88" s="28">
        <f>'Zbiorczo-paragr'!C390</f>
        <v>4700</v>
      </c>
      <c r="D88" s="28" t="str">
        <f>'Zbiorczo-paragr'!D390</f>
        <v xml:space="preserve">Szkolenia pracowników niebędących członkami korpusu służby cywilnej                                  </v>
      </c>
      <c r="E88" s="109">
        <f>SUM(E89)</f>
        <v>50</v>
      </c>
      <c r="F88" s="53">
        <f>SUM(F89)</f>
        <v>250</v>
      </c>
      <c r="G88" s="70">
        <f t="shared" si="1"/>
        <v>5</v>
      </c>
      <c r="H88" s="43" t="e">
        <f>F88/#REF!</f>
        <v>#REF!</v>
      </c>
    </row>
    <row r="89" spans="1:9" ht="15" customHeight="1">
      <c r="A89" s="15"/>
      <c r="B89" s="27"/>
      <c r="C89" s="28"/>
      <c r="D89" s="28" t="s">
        <v>286</v>
      </c>
      <c r="E89" s="108">
        <v>50</v>
      </c>
      <c r="F89" s="50">
        <v>250</v>
      </c>
      <c r="G89" s="70">
        <f t="shared" si="1"/>
        <v>5</v>
      </c>
      <c r="H89" s="43" t="e">
        <f>F89/#REF!</f>
        <v>#REF!</v>
      </c>
    </row>
    <row r="90" spans="1:9" ht="18" customHeight="1">
      <c r="A90" s="490" t="str">
        <f>'Zbiorczo-paragr'!A394:D394</f>
        <v>81010 Gimnazja : Razem</v>
      </c>
      <c r="B90" s="491"/>
      <c r="C90" s="491"/>
      <c r="D90" s="492"/>
      <c r="E90" s="110">
        <f>SUM(E60+E63+E66+E67+E68+E69+E71+E73+E75+E77+E80+E81+E83+E85+E87+E88)</f>
        <v>1479809</v>
      </c>
      <c r="F90" s="110">
        <f>SUM(F60+F63+F66+F67+F68+F69+F71+F73+F75+F77+F80+F81+F83+F85+F87+F88)</f>
        <v>927635</v>
      </c>
      <c r="G90" s="71">
        <f t="shared" si="1"/>
        <v>0.62686130439806764</v>
      </c>
      <c r="H90" s="43" t="e">
        <f>F90/#REF!</f>
        <v>#REF!</v>
      </c>
      <c r="I90" s="72"/>
    </row>
    <row r="91" spans="1:9" ht="16.5" customHeight="1">
      <c r="A91" s="15">
        <v>801</v>
      </c>
      <c r="B91" s="27">
        <f>'Zbiorczo-paragr'!B399</f>
        <v>80120</v>
      </c>
      <c r="C91" s="27">
        <f>'Zbiorczo-paragr'!C399</f>
        <v>3020</v>
      </c>
      <c r="D91" s="27" t="str">
        <f>'Zbiorczo-paragr'!D399</f>
        <v xml:space="preserve">Wydatki osobowe niezaliczone do wynagrodzeń  </v>
      </c>
      <c r="E91" s="108">
        <f>SUM(E92:E93)</f>
        <v>77910</v>
      </c>
      <c r="F91" s="108">
        <f>SUM(F92:F93)</f>
        <v>66350</v>
      </c>
      <c r="G91" s="70">
        <f t="shared" ref="G91:G196" si="2">SUM(F91/E91)</f>
        <v>0.8516236683352586</v>
      </c>
      <c r="H91" s="43" t="e">
        <f>F91/#REF!</f>
        <v>#REF!</v>
      </c>
    </row>
    <row r="92" spans="1:9" ht="20.25" customHeight="1">
      <c r="A92" s="15"/>
      <c r="B92" s="27"/>
      <c r="C92" s="27"/>
      <c r="D92" s="29" t="str">
        <f>'Zbiorczo-paragr'!D400</f>
        <v xml:space="preserve"> dodatki wiejskie dla nauczycieli, pomoc zdrowotna dla nauczycieli</v>
      </c>
      <c r="E92" s="108">
        <f>77910-E93</f>
        <v>76910</v>
      </c>
      <c r="F92" s="108">
        <f>68000-F168-F93</f>
        <v>65350</v>
      </c>
      <c r="G92" s="70">
        <f t="shared" si="2"/>
        <v>0.84969444805616956</v>
      </c>
      <c r="H92" s="43" t="e">
        <f>F92/#REF!</f>
        <v>#REF!</v>
      </c>
      <c r="I92" s="78"/>
    </row>
    <row r="93" spans="1:9" ht="20.25" customHeight="1">
      <c r="A93" s="15"/>
      <c r="B93" s="27"/>
      <c r="C93" s="27"/>
      <c r="D93" s="29" t="s">
        <v>613</v>
      </c>
      <c r="E93" s="108">
        <v>1000</v>
      </c>
      <c r="F93" s="108">
        <v>1000</v>
      </c>
      <c r="G93" s="70">
        <f t="shared" si="2"/>
        <v>1</v>
      </c>
      <c r="H93" s="43"/>
    </row>
    <row r="94" spans="1:9" ht="15" customHeight="1">
      <c r="A94" s="15"/>
      <c r="B94" s="27"/>
      <c r="C94" s="27">
        <f>'Zbiorczo-paragr'!C402</f>
        <v>4010</v>
      </c>
      <c r="D94" s="27" t="str">
        <f>'Zbiorczo-paragr'!D402</f>
        <v xml:space="preserve">Wynagrodzenia osobowe pracowników                       </v>
      </c>
      <c r="E94" s="109">
        <f>SUM(E95:E96)</f>
        <v>1147222</v>
      </c>
      <c r="F94" s="109">
        <f>SUM(F95:F96)</f>
        <v>1445000</v>
      </c>
      <c r="G94" s="70">
        <f t="shared" si="2"/>
        <v>1.259564408632331</v>
      </c>
      <c r="H94" s="43" t="e">
        <f>F94/#REF!</f>
        <v>#REF!</v>
      </c>
    </row>
    <row r="95" spans="1:9" ht="31.5" customHeight="1">
      <c r="A95" s="15"/>
      <c r="B95" s="27"/>
      <c r="C95" s="27"/>
      <c r="D95" s="27" t="str">
        <f>'Zbiorczo-paragr'!D403</f>
        <v xml:space="preserve">wynagrodzenia osobowe pracowników, awans nauczycielski, nagrody specjalne DEN, nauczanie indywidualne </v>
      </c>
      <c r="E95" s="108">
        <f>1147222-E96</f>
        <v>1126022</v>
      </c>
      <c r="F95" s="108">
        <f>1466000-F96-F171</f>
        <v>1416000</v>
      </c>
      <c r="G95" s="70">
        <f t="shared" si="2"/>
        <v>1.2575242757246305</v>
      </c>
      <c r="H95" s="43" t="e">
        <f>F95/#REF!</f>
        <v>#REF!</v>
      </c>
    </row>
    <row r="96" spans="1:9" ht="20.25" customHeight="1">
      <c r="A96" s="15"/>
      <c r="B96" s="27"/>
      <c r="C96" s="27"/>
      <c r="D96" s="27" t="str">
        <f>'Zbiorczo-paragr'!D404</f>
        <v>nagrody jubileuszowe (3), 1 odprawa emerytalna</v>
      </c>
      <c r="E96" s="108">
        <v>21200</v>
      </c>
      <c r="F96" s="108">
        <f>5500+17000+6500</f>
        <v>29000</v>
      </c>
      <c r="G96" s="70">
        <f t="shared" si="2"/>
        <v>1.3679245283018868</v>
      </c>
      <c r="H96" s="43"/>
    </row>
    <row r="97" spans="1:8" ht="33.75" customHeight="1">
      <c r="A97" s="15"/>
      <c r="B97" s="27"/>
      <c r="C97" s="27">
        <f>'Zbiorczo-paragr'!C405</f>
        <v>4040</v>
      </c>
      <c r="D97" s="27" t="s">
        <v>227</v>
      </c>
      <c r="E97" s="108">
        <v>93000</v>
      </c>
      <c r="F97" s="108">
        <v>96000</v>
      </c>
      <c r="G97" s="70">
        <f t="shared" si="2"/>
        <v>1.032258064516129</v>
      </c>
      <c r="H97" s="43" t="e">
        <f>F97/#REF!</f>
        <v>#REF!</v>
      </c>
    </row>
    <row r="98" spans="1:8" ht="16.5" customHeight="1">
      <c r="A98" s="15"/>
      <c r="B98" s="27"/>
      <c r="C98" s="27">
        <f>'Zbiorczo-paragr'!C407</f>
        <v>4110</v>
      </c>
      <c r="D98" s="27" t="str">
        <f>'Zbiorczo-paragr'!D407</f>
        <v xml:space="preserve">Składki na ubezpieczenia społeczne                      </v>
      </c>
      <c r="E98" s="108">
        <v>233852</v>
      </c>
      <c r="F98" s="108">
        <f>280000-F174</f>
        <v>276200</v>
      </c>
      <c r="G98" s="70">
        <f t="shared" si="2"/>
        <v>1.1810888938302859</v>
      </c>
      <c r="H98" s="43" t="e">
        <f>F98/#REF!</f>
        <v>#REF!</v>
      </c>
    </row>
    <row r="99" spans="1:8" ht="17.25" customHeight="1">
      <c r="A99" s="15"/>
      <c r="B99" s="27"/>
      <c r="C99" s="27">
        <f>'Zbiorczo-paragr'!C409</f>
        <v>4120</v>
      </c>
      <c r="D99" s="27" t="str">
        <f>'Zbiorczo-paragr'!D409</f>
        <v xml:space="preserve">Składki na Fundusz Pracy                                </v>
      </c>
      <c r="E99" s="108">
        <v>29369</v>
      </c>
      <c r="F99" s="108">
        <f>38000-F177</f>
        <v>37450</v>
      </c>
      <c r="G99" s="70">
        <f t="shared" si="2"/>
        <v>1.2751540740236305</v>
      </c>
      <c r="H99" s="43" t="e">
        <f>F99/#REF!</f>
        <v>#REF!</v>
      </c>
    </row>
    <row r="100" spans="1:8" ht="15.75" hidden="1" customHeight="1">
      <c r="A100" s="15"/>
      <c r="B100" s="27"/>
      <c r="C100" s="27">
        <f>'Zbiorczo-paragr'!C411</f>
        <v>4170</v>
      </c>
      <c r="D100" s="27" t="str">
        <f>'Zbiorczo-paragr'!D411</f>
        <v>Wynagrodzenia bezosobowe</v>
      </c>
      <c r="E100" s="109">
        <f>SUM(E101)</f>
        <v>0</v>
      </c>
      <c r="F100" s="109">
        <f>SUM(F101)</f>
        <v>0</v>
      </c>
      <c r="G100" s="70" t="e">
        <f t="shared" si="2"/>
        <v>#DIV/0!</v>
      </c>
      <c r="H100" s="43" t="e">
        <f>F100/#REF!</f>
        <v>#REF!</v>
      </c>
    </row>
    <row r="101" spans="1:8" ht="32.25" hidden="1" customHeight="1">
      <c r="A101" s="15"/>
      <c r="B101" s="27"/>
      <c r="C101" s="27"/>
      <c r="D101" s="27" t="str">
        <f>'Zbiorczo-paragr'!D412</f>
        <v xml:space="preserve">umowy zlecenia: prowadzenie zajęć dodatkowych w czasie ferii i wakacji, zajeć rekreacyjno-sportowych i inne prace zlecone  </v>
      </c>
      <c r="E101" s="108">
        <v>0</v>
      </c>
      <c r="F101" s="108">
        <v>0</v>
      </c>
      <c r="G101" s="70" t="e">
        <f t="shared" si="2"/>
        <v>#DIV/0!</v>
      </c>
      <c r="H101" s="43" t="e">
        <f>F101/#REF!</f>
        <v>#REF!</v>
      </c>
    </row>
    <row r="102" spans="1:8" ht="17.25" customHeight="1">
      <c r="A102" s="15"/>
      <c r="B102" s="27"/>
      <c r="C102" s="27">
        <v>4190</v>
      </c>
      <c r="D102" s="27" t="str">
        <f>'Zbiorczo-paragr'!D413</f>
        <v>Nagrody konkursowe</v>
      </c>
      <c r="E102" s="108">
        <f>E103</f>
        <v>800</v>
      </c>
      <c r="F102" s="108">
        <f>F103</f>
        <v>800</v>
      </c>
      <c r="G102" s="70">
        <f t="shared" si="2"/>
        <v>1</v>
      </c>
      <c r="H102" s="43"/>
    </row>
    <row r="103" spans="1:8" ht="19.5" customHeight="1">
      <c r="A103" s="15"/>
      <c r="B103" s="27"/>
      <c r="C103" s="27"/>
      <c r="D103" s="27" t="str">
        <f>'Zbiorczo-paragr'!D414</f>
        <v>zakup nagród dla uczniów</v>
      </c>
      <c r="E103" s="108">
        <v>800</v>
      </c>
      <c r="F103" s="108">
        <v>800</v>
      </c>
      <c r="G103" s="70">
        <f t="shared" si="2"/>
        <v>1</v>
      </c>
      <c r="H103" s="43"/>
    </row>
    <row r="104" spans="1:8" ht="17.25" customHeight="1">
      <c r="A104" s="15"/>
      <c r="B104" s="27"/>
      <c r="C104" s="27">
        <f>'Zbiorczo-paragr'!C415</f>
        <v>4210</v>
      </c>
      <c r="D104" s="27" t="str">
        <f>'Zbiorczo-paragr'!D415</f>
        <v xml:space="preserve">Zakup materiałów i wyposażenia                          </v>
      </c>
      <c r="E104" s="108">
        <f>SUM(E105)</f>
        <v>20150</v>
      </c>
      <c r="F104" s="108">
        <f>SUM(F105)</f>
        <v>25000</v>
      </c>
      <c r="G104" s="70">
        <f t="shared" si="2"/>
        <v>1.2406947890818858</v>
      </c>
      <c r="H104" s="43" t="e">
        <f>F104/#REF!</f>
        <v>#REF!</v>
      </c>
    </row>
    <row r="105" spans="1:8" ht="43.5" customHeight="1">
      <c r="A105" s="15"/>
      <c r="B105" s="27"/>
      <c r="C105" s="27"/>
      <c r="D105" s="27" t="str">
        <f>'Zbiorczo-paragr'!D416</f>
        <v>zakup środków czystości, materiałów biurowych i piśmiennych, wyposażenia (meble do sal lekcyjnych), druków, tonerów i tuszy do drukarek, akcesorii i programów komputerowych, śr do konserwacji, paliwa i inne</v>
      </c>
      <c r="E105" s="108">
        <v>20150</v>
      </c>
      <c r="F105" s="108">
        <v>25000</v>
      </c>
      <c r="G105" s="70">
        <f t="shared" si="2"/>
        <v>1.2406947890818858</v>
      </c>
      <c r="H105" s="43" t="e">
        <f>F105/#REF!</f>
        <v>#REF!</v>
      </c>
    </row>
    <row r="106" spans="1:8" ht="18.75" customHeight="1">
      <c r="A106" s="15"/>
      <c r="B106" s="27"/>
      <c r="C106" s="27">
        <f>'Zbiorczo-paragr'!C417</f>
        <v>4220</v>
      </c>
      <c r="D106" s="27" t="str">
        <f>'Zbiorczo-paragr'!D417</f>
        <v xml:space="preserve">Zakup środków żywności    </v>
      </c>
      <c r="E106" s="108">
        <f>E107</f>
        <v>300</v>
      </c>
      <c r="F106" s="108">
        <f>F107</f>
        <v>300</v>
      </c>
      <c r="G106" s="70">
        <f t="shared" si="2"/>
        <v>1</v>
      </c>
      <c r="H106" s="43"/>
    </row>
    <row r="107" spans="1:8" ht="16.5" customHeight="1">
      <c r="A107" s="15"/>
      <c r="B107" s="27"/>
      <c r="C107" s="27"/>
      <c r="D107" s="29" t="s">
        <v>493</v>
      </c>
      <c r="E107" s="108">
        <v>300</v>
      </c>
      <c r="F107" s="108">
        <v>300</v>
      </c>
      <c r="G107" s="70">
        <f t="shared" si="2"/>
        <v>1</v>
      </c>
      <c r="H107" s="43"/>
    </row>
    <row r="108" spans="1:8" ht="16.5" customHeight="1">
      <c r="A108" s="15"/>
      <c r="B108" s="27"/>
      <c r="C108" s="27">
        <f>'Zbiorczo-paragr'!C419</f>
        <v>4240</v>
      </c>
      <c r="D108" s="27" t="str">
        <f>'Zbiorczo-paragr'!D419</f>
        <v xml:space="preserve">Zakup pomocy naukowych, dydaktycznych i książek         </v>
      </c>
      <c r="E108" s="108">
        <v>17000</v>
      </c>
      <c r="F108" s="108">
        <v>16500</v>
      </c>
      <c r="G108" s="70">
        <f t="shared" si="2"/>
        <v>0.97058823529411764</v>
      </c>
      <c r="H108" s="43" t="e">
        <f>F108/#REF!</f>
        <v>#REF!</v>
      </c>
    </row>
    <row r="109" spans="1:8" ht="16.5" customHeight="1">
      <c r="A109" s="15"/>
      <c r="B109" s="27"/>
      <c r="C109" s="27">
        <f>'Zbiorczo-paragr'!C421</f>
        <v>4270</v>
      </c>
      <c r="D109" s="27" t="str">
        <f>'Zbiorczo-paragr'!D421</f>
        <v xml:space="preserve">Zakup usług remontowych                                 </v>
      </c>
      <c r="E109" s="109">
        <f>SUM(E110+E111)</f>
        <v>1000</v>
      </c>
      <c r="F109" s="109">
        <f>SUM(F110+F111)</f>
        <v>1100</v>
      </c>
      <c r="G109" s="70">
        <f t="shared" si="2"/>
        <v>1.1000000000000001</v>
      </c>
      <c r="H109" s="43" t="e">
        <f>F109/#REF!</f>
        <v>#REF!</v>
      </c>
    </row>
    <row r="110" spans="1:8" ht="15.75" customHeight="1">
      <c r="A110" s="15"/>
      <c r="B110" s="27"/>
      <c r="C110" s="27"/>
      <c r="D110" s="27" t="str">
        <f>'Zbiorczo-paragr'!D422</f>
        <v>usługi konserw.naprawcze maszyn, śr. transp,urządzeń i sprzętu</v>
      </c>
      <c r="E110" s="108">
        <v>1000</v>
      </c>
      <c r="F110" s="108">
        <v>1100</v>
      </c>
      <c r="G110" s="70">
        <f t="shared" si="2"/>
        <v>1.1000000000000001</v>
      </c>
      <c r="H110" s="43" t="e">
        <f>F110/#REF!</f>
        <v>#REF!</v>
      </c>
    </row>
    <row r="111" spans="1:8" ht="43.5" hidden="1" customHeight="1">
      <c r="A111" s="15"/>
      <c r="B111" s="27"/>
      <c r="C111" s="27"/>
      <c r="D111" s="29" t="s">
        <v>547</v>
      </c>
      <c r="E111" s="108">
        <v>0</v>
      </c>
      <c r="F111" s="108">
        <v>0</v>
      </c>
      <c r="G111" s="70" t="e">
        <f t="shared" si="2"/>
        <v>#DIV/0!</v>
      </c>
      <c r="H111" s="43" t="e">
        <f>F111/#REF!</f>
        <v>#REF!</v>
      </c>
    </row>
    <row r="112" spans="1:8" ht="31.5" customHeight="1">
      <c r="A112" s="15"/>
      <c r="B112" s="27"/>
      <c r="C112" s="27">
        <f>'Zbiorczo-paragr'!C424</f>
        <v>4280</v>
      </c>
      <c r="D112" s="27" t="s">
        <v>374</v>
      </c>
      <c r="E112" s="108">
        <v>1100</v>
      </c>
      <c r="F112" s="108">
        <v>900</v>
      </c>
      <c r="G112" s="70">
        <f t="shared" si="2"/>
        <v>0.81818181818181823</v>
      </c>
      <c r="H112" s="43" t="e">
        <f>F112/#REF!</f>
        <v>#REF!</v>
      </c>
    </row>
    <row r="113" spans="1:11" ht="14.25" customHeight="1">
      <c r="A113" s="15"/>
      <c r="B113" s="27"/>
      <c r="C113" s="27">
        <f>'Zbiorczo-paragr'!C426</f>
        <v>4300</v>
      </c>
      <c r="D113" s="27" t="str">
        <f>'Zbiorczo-paragr'!D426</f>
        <v xml:space="preserve">Zakup usług pozostałych                                 </v>
      </c>
      <c r="E113" s="108">
        <f>SUM(E114)</f>
        <v>15900</v>
      </c>
      <c r="F113" s="108">
        <f>SUM(F114)</f>
        <v>16600</v>
      </c>
      <c r="G113" s="70">
        <f t="shared" si="2"/>
        <v>1.0440251572327044</v>
      </c>
      <c r="H113" s="43" t="e">
        <f>F113/#REF!</f>
        <v>#REF!</v>
      </c>
    </row>
    <row r="114" spans="1:11" ht="45.75" customHeight="1">
      <c r="A114" s="15"/>
      <c r="B114" s="27"/>
      <c r="C114" s="27"/>
      <c r="D114" s="89" t="str">
        <f>'Zbiorczo-paragr'!D427</f>
        <v>usługi pocztowe, wywóz śmieci, aktualizacja i dostęp do programów komputerowych,usługi transportowe, opłaty za ścieki, przeglądy budowlane, p-poż. i elektryczne, monitoring, obsługa związkowa ZNP i inne</v>
      </c>
      <c r="E114" s="108">
        <v>15900</v>
      </c>
      <c r="F114" s="108">
        <v>16600</v>
      </c>
      <c r="G114" s="70">
        <f t="shared" si="2"/>
        <v>1.0440251572327044</v>
      </c>
      <c r="H114" s="43" t="e">
        <f>F114/#REF!</f>
        <v>#REF!</v>
      </c>
    </row>
    <row r="115" spans="1:11" ht="15.75" customHeight="1">
      <c r="A115" s="15"/>
      <c r="B115" s="27"/>
      <c r="C115" s="27">
        <f>'Zbiorczo-paragr'!C428</f>
        <v>4410</v>
      </c>
      <c r="D115" s="27" t="str">
        <f>'Zbiorczo-paragr'!D428</f>
        <v xml:space="preserve">Podróże służbowe krajowe                                </v>
      </c>
      <c r="E115" s="109">
        <f>SUM(E116)</f>
        <v>1700</v>
      </c>
      <c r="F115" s="109">
        <f>SUM(F116)</f>
        <v>1900</v>
      </c>
      <c r="G115" s="70">
        <f t="shared" si="2"/>
        <v>1.1176470588235294</v>
      </c>
      <c r="H115" s="43" t="e">
        <f>F115/#REF!</f>
        <v>#REF!</v>
      </c>
    </row>
    <row r="116" spans="1:11" ht="30" customHeight="1">
      <c r="A116" s="15"/>
      <c r="B116" s="27"/>
      <c r="C116" s="27"/>
      <c r="D116" s="27" t="str">
        <f>'Zbiorczo-paragr'!D429</f>
        <v xml:space="preserve">wydatki na podróże  służbowe  krajowe, zwrot kosztów za używanie przez pracowników własnych pojazdów do celów służbowych w granicach administracyjnych gminy                        </v>
      </c>
      <c r="E116" s="108">
        <v>1700</v>
      </c>
      <c r="F116" s="108">
        <v>1900</v>
      </c>
      <c r="G116" s="70">
        <f t="shared" si="2"/>
        <v>1.1176470588235294</v>
      </c>
      <c r="H116" s="43" t="e">
        <f>F116/#REF!</f>
        <v>#REF!</v>
      </c>
    </row>
    <row r="117" spans="1:11" ht="16.5" hidden="1" customHeight="1">
      <c r="A117" s="15"/>
      <c r="B117" s="27"/>
      <c r="C117" s="27">
        <f>'Zbiorczo-paragr'!C430</f>
        <v>4420</v>
      </c>
      <c r="D117" s="27" t="str">
        <f>'Zbiorczo-paragr'!D430</f>
        <v xml:space="preserve">Podróże służbowe zagraniczne                                </v>
      </c>
      <c r="E117" s="108">
        <v>0</v>
      </c>
      <c r="F117" s="108">
        <v>0</v>
      </c>
      <c r="G117" s="70" t="e">
        <f t="shared" si="2"/>
        <v>#DIV/0!</v>
      </c>
      <c r="H117" s="43" t="e">
        <f>F117/#REF!</f>
        <v>#REF!</v>
      </c>
    </row>
    <row r="118" spans="1:11" ht="15.75" customHeight="1">
      <c r="A118" s="15"/>
      <c r="B118" s="27"/>
      <c r="C118" s="27">
        <f>'Zbiorczo-paragr'!C432</f>
        <v>4430</v>
      </c>
      <c r="D118" s="27" t="str">
        <f>'Zbiorczo-paragr'!D432</f>
        <v xml:space="preserve">Różne opłaty i składki                                  </v>
      </c>
      <c r="E118" s="108">
        <f>SUM(E119)</f>
        <v>1500</v>
      </c>
      <c r="F118" s="108">
        <f>SUM(F119)</f>
        <v>2000</v>
      </c>
      <c r="G118" s="70">
        <f t="shared" si="2"/>
        <v>1.3333333333333333</v>
      </c>
      <c r="H118" s="43" t="e">
        <f>F118/#REF!</f>
        <v>#REF!</v>
      </c>
    </row>
    <row r="119" spans="1:11" ht="16.5" customHeight="1">
      <c r="A119" s="15"/>
      <c r="B119" s="27"/>
      <c r="C119" s="27"/>
      <c r="D119" s="27" t="s">
        <v>378</v>
      </c>
      <c r="E119" s="108">
        <v>1500</v>
      </c>
      <c r="F119" s="108">
        <v>2000</v>
      </c>
      <c r="G119" s="70">
        <f t="shared" si="2"/>
        <v>1.3333333333333333</v>
      </c>
      <c r="H119" s="43" t="e">
        <f>F119/#REF!</f>
        <v>#REF!</v>
      </c>
    </row>
    <row r="120" spans="1:11" ht="45.75" customHeight="1">
      <c r="A120" s="15"/>
      <c r="B120" s="27"/>
      <c r="C120" s="27">
        <f>'Zbiorczo-paragr'!C434</f>
        <v>4440</v>
      </c>
      <c r="D120" s="27" t="s">
        <v>16</v>
      </c>
      <c r="E120" s="108">
        <v>55668</v>
      </c>
      <c r="F120" s="108">
        <v>58966</v>
      </c>
      <c r="G120" s="70">
        <f t="shared" si="2"/>
        <v>1.0592440899619171</v>
      </c>
      <c r="H120" s="43" t="e">
        <f>F120/#REF!</f>
        <v>#REF!</v>
      </c>
    </row>
    <row r="121" spans="1:11" ht="14.25" customHeight="1">
      <c r="A121" s="15"/>
      <c r="B121" s="27"/>
      <c r="C121" s="28">
        <f>'Zbiorczo-paragr'!C436</f>
        <v>4700</v>
      </c>
      <c r="D121" s="28" t="str">
        <f>'Zbiorczo-paragr'!D436</f>
        <v>Szkolenie pracowników niebędących członkami korpusu służby cywilnej</v>
      </c>
      <c r="E121" s="109">
        <f>SUM(E122)</f>
        <v>250</v>
      </c>
      <c r="F121" s="109">
        <f>SUM(F122)</f>
        <v>350</v>
      </c>
      <c r="G121" s="70">
        <f t="shared" si="2"/>
        <v>1.4</v>
      </c>
      <c r="H121" s="43" t="e">
        <f>F121/#REF!</f>
        <v>#REF!</v>
      </c>
    </row>
    <row r="122" spans="1:11" ht="18" customHeight="1">
      <c r="A122" s="15"/>
      <c r="B122" s="27"/>
      <c r="C122" s="28"/>
      <c r="D122" s="28" t="str">
        <f>'Zbiorczo-paragr'!D437</f>
        <v>szkolenie pracowników administracji</v>
      </c>
      <c r="E122" s="108">
        <v>250</v>
      </c>
      <c r="F122" s="108">
        <v>350</v>
      </c>
      <c r="G122" s="70">
        <f t="shared" si="2"/>
        <v>1.4</v>
      </c>
      <c r="H122" s="43" t="e">
        <f>F122/#REF!</f>
        <v>#REF!</v>
      </c>
    </row>
    <row r="123" spans="1:11" s="62" customFormat="1" ht="15" customHeight="1">
      <c r="A123" s="490" t="str">
        <f>'Zbiorczo-paragr'!A438:D438</f>
        <v>80120 Licea ogólnokształcące : Razem</v>
      </c>
      <c r="B123" s="491"/>
      <c r="C123" s="491"/>
      <c r="D123" s="492"/>
      <c r="E123" s="112">
        <f>SUM(E91+E94+E97+E98+E99+E100+E102+E104+E106+E108+E109+E112+E113+E115+E117+E118+E120+E121)</f>
        <v>1696721</v>
      </c>
      <c r="F123" s="112">
        <f>SUM(F91+F94+F97+F98+F99+F100+F102+F104+F106+F108+F109+F112+F113+F115+F117+F118+F120+F121)</f>
        <v>2045416</v>
      </c>
      <c r="G123" s="71">
        <f t="shared" si="2"/>
        <v>1.2055111005286079</v>
      </c>
      <c r="H123" s="43" t="e">
        <f>F123/#REF!</f>
        <v>#REF!</v>
      </c>
    </row>
    <row r="124" spans="1:11" ht="15.75">
      <c r="A124" s="15">
        <v>801</v>
      </c>
      <c r="B124" s="27">
        <f>'Zbiorczo-paragr'!B439</f>
        <v>80146</v>
      </c>
      <c r="C124" s="27">
        <f>'Zbiorczo-paragr'!C439</f>
        <v>3020</v>
      </c>
      <c r="D124" s="27" t="str">
        <f>'Zbiorczo-paragr'!D439</f>
        <v xml:space="preserve">Wydatki osobowe niezaliczone do wynagrodzeń  </v>
      </c>
      <c r="E124" s="108">
        <f>SUM(E125:E127)</f>
        <v>11175</v>
      </c>
      <c r="F124" s="108">
        <f>SUM(F125:F127)</f>
        <v>7000</v>
      </c>
      <c r="G124" s="70">
        <f t="shared" si="2"/>
        <v>0.62639821029082776</v>
      </c>
      <c r="H124" s="43" t="e">
        <f>F124/#REF!</f>
        <v>#REF!</v>
      </c>
      <c r="I124" s="72"/>
    </row>
    <row r="125" spans="1:11" ht="32.25" customHeight="1">
      <c r="A125" s="15"/>
      <c r="B125" s="27"/>
      <c r="C125" s="27"/>
      <c r="D125" s="27" t="str">
        <f>'Zbiorczo-paragr'!D440</f>
        <v>opłaty za kształcenie pobierane przez szkoły wyższe i zakłady kształcenia nauczycieli - szkoła podstawowa</v>
      </c>
      <c r="E125" s="108">
        <v>8175</v>
      </c>
      <c r="F125" s="108">
        <v>5000</v>
      </c>
      <c r="G125" s="70">
        <f t="shared" si="2"/>
        <v>0.6116207951070336</v>
      </c>
      <c r="H125" s="43" t="e">
        <f>F125/#REF!</f>
        <v>#REF!</v>
      </c>
      <c r="J125" s="72"/>
      <c r="K125" s="72"/>
    </row>
    <row r="126" spans="1:11" ht="31.5" customHeight="1">
      <c r="A126" s="15"/>
      <c r="B126" s="27"/>
      <c r="C126" s="27"/>
      <c r="D126" s="27" t="str">
        <f>'Zbiorczo-paragr'!D441</f>
        <v>opłaty za kształcenie pobierane przez szkoły wyższe i zakłady kształcenia nauczycieli - gimnazjum</v>
      </c>
      <c r="E126" s="108">
        <v>1000</v>
      </c>
      <c r="F126" s="108">
        <v>0</v>
      </c>
      <c r="G126" s="70">
        <f t="shared" si="2"/>
        <v>0</v>
      </c>
      <c r="H126" s="43" t="e">
        <f>F126/#REF!</f>
        <v>#REF!</v>
      </c>
      <c r="J126" s="72"/>
      <c r="K126" s="72"/>
    </row>
    <row r="127" spans="1:11" ht="30" customHeight="1">
      <c r="A127" s="15"/>
      <c r="B127" s="27"/>
      <c r="C127" s="27"/>
      <c r="D127" s="27" t="str">
        <f>'Zbiorczo-paragr'!D443</f>
        <v>opłaty za kształcenie pobierane przez szkoły wyższe i zakłady kształcenia nauczycieli - LO</v>
      </c>
      <c r="E127" s="108">
        <v>2000</v>
      </c>
      <c r="F127" s="108">
        <v>2000</v>
      </c>
      <c r="G127" s="70">
        <f t="shared" si="2"/>
        <v>1</v>
      </c>
      <c r="H127" s="43" t="e">
        <f>F127/#REF!</f>
        <v>#REF!</v>
      </c>
      <c r="J127" s="72"/>
      <c r="K127" s="72"/>
    </row>
    <row r="128" spans="1:11" ht="21.75" hidden="1" customHeight="1">
      <c r="A128" s="15"/>
      <c r="B128" s="27"/>
      <c r="C128" s="27">
        <v>4410</v>
      </c>
      <c r="D128" s="27" t="str">
        <f>'Zbiorczo-paragr'!D444</f>
        <v xml:space="preserve">Podróże służbowe krajowe                                </v>
      </c>
      <c r="E128" s="108">
        <f>E129+E130+E131</f>
        <v>0</v>
      </c>
      <c r="F128" s="108">
        <f>F129+F130+F131</f>
        <v>0</v>
      </c>
      <c r="G128" s="70" t="e">
        <f t="shared" si="2"/>
        <v>#DIV/0!</v>
      </c>
      <c r="H128" s="43" t="e">
        <f>F128/#REF!</f>
        <v>#REF!</v>
      </c>
    </row>
    <row r="129" spans="1:11" ht="20.25" hidden="1" customHeight="1">
      <c r="A129" s="15"/>
      <c r="B129" s="27"/>
      <c r="C129" s="27"/>
      <c r="D129" s="27" t="s">
        <v>250</v>
      </c>
      <c r="E129" s="108">
        <v>0</v>
      </c>
      <c r="F129" s="108">
        <v>0</v>
      </c>
      <c r="G129" s="70" t="e">
        <f t="shared" si="2"/>
        <v>#DIV/0!</v>
      </c>
      <c r="H129" s="43" t="e">
        <f>F129/#REF!</f>
        <v>#REF!</v>
      </c>
    </row>
    <row r="130" spans="1:11" ht="18" hidden="1" customHeight="1">
      <c r="A130" s="15"/>
      <c r="B130" s="27"/>
      <c r="C130" s="27"/>
      <c r="D130" s="27" t="s">
        <v>251</v>
      </c>
      <c r="E130" s="108">
        <v>0</v>
      </c>
      <c r="F130" s="108">
        <v>0</v>
      </c>
      <c r="G130" s="70" t="e">
        <f t="shared" si="2"/>
        <v>#DIV/0!</v>
      </c>
      <c r="H130" s="43" t="e">
        <f>F130/#REF!</f>
        <v>#REF!</v>
      </c>
    </row>
    <row r="131" spans="1:11" ht="18.75" hidden="1" customHeight="1">
      <c r="A131" s="15"/>
      <c r="B131" s="27"/>
      <c r="C131" s="27"/>
      <c r="D131" s="27" t="s">
        <v>115</v>
      </c>
      <c r="E131" s="108">
        <v>0</v>
      </c>
      <c r="F131" s="108">
        <v>0</v>
      </c>
      <c r="G131" s="70" t="e">
        <f t="shared" si="2"/>
        <v>#DIV/0!</v>
      </c>
      <c r="H131" s="43" t="e">
        <f>F131/#REF!</f>
        <v>#REF!</v>
      </c>
    </row>
    <row r="132" spans="1:11" ht="14.25" customHeight="1">
      <c r="A132" s="15"/>
      <c r="B132" s="27"/>
      <c r="C132" s="27">
        <f>'Zbiorczo-paragr'!C449</f>
        <v>4700</v>
      </c>
      <c r="D132" s="27" t="str">
        <f>'Zbiorczo-paragr'!D449</f>
        <v>Szkolenie pracowników niebędących członkami korpusu służby cywilnej</v>
      </c>
      <c r="E132" s="108">
        <f>SUM(E133:E135)</f>
        <v>42154</v>
      </c>
      <c r="F132" s="108">
        <f>SUM(F133:F135)</f>
        <v>33019</v>
      </c>
      <c r="G132" s="70">
        <f t="shared" si="2"/>
        <v>0.78329458651610762</v>
      </c>
      <c r="H132" s="43" t="e">
        <f>F132/#REF!</f>
        <v>#REF!</v>
      </c>
      <c r="K132" s="72"/>
    </row>
    <row r="133" spans="1:11" ht="15.75" customHeight="1">
      <c r="A133" s="15"/>
      <c r="B133" s="27"/>
      <c r="C133" s="27"/>
      <c r="D133" s="27" t="str">
        <f>'Zbiorczo-paragr'!D450</f>
        <v>opłaty za szkolenia nauczycieli - szkoła podstawowa</v>
      </c>
      <c r="E133" s="108">
        <v>28179</v>
      </c>
      <c r="F133" s="108">
        <f>([3]Komorów!$G$59+[3]Komorów!$G$61+[3]Komorów!$G$62-F125+1-F163)</f>
        <v>23889</v>
      </c>
      <c r="G133" s="70">
        <f t="shared" si="2"/>
        <v>0.84775896944533158</v>
      </c>
      <c r="H133" s="43" t="e">
        <f>F133/#REF!</f>
        <v>#REF!</v>
      </c>
    </row>
    <row r="134" spans="1:11" ht="15.75" customHeight="1">
      <c r="A134" s="15"/>
      <c r="B134" s="27"/>
      <c r="C134" s="27"/>
      <c r="D134" s="27" t="str">
        <f>'Zbiorczo-paragr'!D451</f>
        <v>opłaty za szkolenia nauczycieli- gimnazjum</v>
      </c>
      <c r="E134" s="108">
        <v>6232</v>
      </c>
      <c r="F134" s="108">
        <f>[3]Komorów!$G$60-F126</f>
        <v>2558</v>
      </c>
      <c r="G134" s="70">
        <f t="shared" si="2"/>
        <v>0.41046213093709882</v>
      </c>
      <c r="H134" s="43" t="e">
        <f>F134/#REF!</f>
        <v>#REF!</v>
      </c>
      <c r="I134" s="72"/>
      <c r="K134" s="72"/>
    </row>
    <row r="135" spans="1:11" ht="15.75" customHeight="1">
      <c r="A135" s="15"/>
      <c r="B135" s="27"/>
      <c r="C135" s="27"/>
      <c r="D135" s="27" t="str">
        <f>'Zbiorczo-paragr'!D453</f>
        <v>opłaty za szkolenia nauczycieli- LO</v>
      </c>
      <c r="E135" s="108">
        <v>7743</v>
      </c>
      <c r="F135" s="108">
        <f>[3]Komorów!$G$63-F127-F180</f>
        <v>6572</v>
      </c>
      <c r="G135" s="70">
        <f t="shared" si="2"/>
        <v>0.84876662792199409</v>
      </c>
      <c r="H135" s="43" t="e">
        <f>F135/#REF!</f>
        <v>#REF!</v>
      </c>
    </row>
    <row r="136" spans="1:11" ht="17.25" customHeight="1">
      <c r="A136" s="490" t="s">
        <v>233</v>
      </c>
      <c r="B136" s="491"/>
      <c r="C136" s="491"/>
      <c r="D136" s="492"/>
      <c r="E136" s="110">
        <f>SUM(E124+E128+E132)</f>
        <v>53329</v>
      </c>
      <c r="F136" s="110">
        <f>SUM(F124+F128+F132)</f>
        <v>40019</v>
      </c>
      <c r="G136" s="71">
        <f t="shared" si="2"/>
        <v>0.75041722139923872</v>
      </c>
      <c r="H136" s="43" t="e">
        <f>F136/#REF!</f>
        <v>#REF!</v>
      </c>
      <c r="I136" s="72"/>
      <c r="J136" s="78"/>
    </row>
    <row r="137" spans="1:11" ht="17.25" customHeight="1">
      <c r="A137" s="15">
        <v>801</v>
      </c>
      <c r="B137" s="15">
        <v>80149</v>
      </c>
      <c r="C137" s="15">
        <v>3020</v>
      </c>
      <c r="D137" s="21" t="s">
        <v>359</v>
      </c>
      <c r="E137" s="108">
        <f>E138</f>
        <v>1694</v>
      </c>
      <c r="F137" s="108">
        <f>F138</f>
        <v>0</v>
      </c>
      <c r="G137" s="70">
        <f t="shared" si="2"/>
        <v>0</v>
      </c>
      <c r="H137" s="43"/>
      <c r="I137" s="72"/>
      <c r="J137" s="78"/>
    </row>
    <row r="138" spans="1:11" ht="17.25" customHeight="1">
      <c r="A138" s="14"/>
      <c r="B138" s="14"/>
      <c r="C138" s="15"/>
      <c r="D138" s="21" t="s">
        <v>644</v>
      </c>
      <c r="E138" s="108">
        <v>1694</v>
      </c>
      <c r="F138" s="108">
        <v>0</v>
      </c>
      <c r="G138" s="70">
        <f t="shared" si="2"/>
        <v>0</v>
      </c>
      <c r="H138" s="43"/>
      <c r="I138" s="72"/>
      <c r="J138" s="78"/>
    </row>
    <row r="139" spans="1:11" ht="17.25" customHeight="1">
      <c r="A139" s="14"/>
      <c r="B139" s="14"/>
      <c r="C139" s="15">
        <v>4010</v>
      </c>
      <c r="D139" s="21" t="s">
        <v>348</v>
      </c>
      <c r="E139" s="108">
        <f>E140</f>
        <v>12579</v>
      </c>
      <c r="F139" s="108">
        <f>F140</f>
        <v>0</v>
      </c>
      <c r="G139" s="70">
        <f t="shared" si="2"/>
        <v>0</v>
      </c>
      <c r="H139" s="43"/>
      <c r="I139" s="72"/>
      <c r="J139" s="78"/>
    </row>
    <row r="140" spans="1:11" ht="17.25" customHeight="1">
      <c r="A140" s="14"/>
      <c r="B140" s="14"/>
      <c r="C140" s="15"/>
      <c r="D140" s="21" t="s">
        <v>645</v>
      </c>
      <c r="E140" s="108">
        <v>12579</v>
      </c>
      <c r="F140" s="108">
        <v>0</v>
      </c>
      <c r="G140" s="70">
        <f t="shared" si="2"/>
        <v>0</v>
      </c>
      <c r="H140" s="43"/>
      <c r="I140" s="72"/>
      <c r="J140" s="78"/>
    </row>
    <row r="141" spans="1:11" ht="17.25" customHeight="1">
      <c r="A141" s="14"/>
      <c r="B141" s="14"/>
      <c r="C141" s="20">
        <v>4110</v>
      </c>
      <c r="D141" s="21" t="s">
        <v>446</v>
      </c>
      <c r="E141" s="108">
        <f>E142</f>
        <v>2453</v>
      </c>
      <c r="F141" s="108">
        <f>F142</f>
        <v>0</v>
      </c>
      <c r="G141" s="70">
        <f t="shared" si="2"/>
        <v>0</v>
      </c>
      <c r="H141" s="43"/>
      <c r="I141" s="72"/>
      <c r="J141" s="78"/>
    </row>
    <row r="142" spans="1:11" ht="17.25" customHeight="1">
      <c r="A142" s="14"/>
      <c r="B142" s="14"/>
      <c r="C142" s="20"/>
      <c r="D142" s="21" t="s">
        <v>646</v>
      </c>
      <c r="E142" s="108">
        <v>2453</v>
      </c>
      <c r="F142" s="108">
        <v>0</v>
      </c>
      <c r="G142" s="70">
        <f t="shared" si="2"/>
        <v>0</v>
      </c>
      <c r="H142" s="43"/>
      <c r="I142" s="72"/>
      <c r="J142" s="78"/>
    </row>
    <row r="143" spans="1:11" ht="17.25" customHeight="1">
      <c r="A143" s="14"/>
      <c r="B143" s="14"/>
      <c r="C143" s="20">
        <v>4120</v>
      </c>
      <c r="D143" s="21" t="s">
        <v>301</v>
      </c>
      <c r="E143" s="108">
        <f>E144</f>
        <v>350</v>
      </c>
      <c r="F143" s="108">
        <f>F144</f>
        <v>0</v>
      </c>
      <c r="G143" s="70">
        <f t="shared" si="2"/>
        <v>0</v>
      </c>
      <c r="H143" s="43"/>
      <c r="I143" s="72"/>
      <c r="J143" s="78"/>
    </row>
    <row r="144" spans="1:11" ht="17.25" customHeight="1">
      <c r="A144" s="14"/>
      <c r="B144" s="14"/>
      <c r="C144" s="20"/>
      <c r="D144" s="21" t="s">
        <v>647</v>
      </c>
      <c r="E144" s="108">
        <v>350</v>
      </c>
      <c r="F144" s="108">
        <v>0</v>
      </c>
      <c r="G144" s="70">
        <f t="shared" si="2"/>
        <v>0</v>
      </c>
      <c r="H144" s="43"/>
      <c r="I144" s="72"/>
      <c r="J144" s="78"/>
    </row>
    <row r="145" spans="1:10" ht="27" customHeight="1">
      <c r="A145" s="579" t="s">
        <v>462</v>
      </c>
      <c r="B145" s="580"/>
      <c r="C145" s="580"/>
      <c r="D145" s="580"/>
      <c r="E145" s="110">
        <f>E137+E139+E141+E143</f>
        <v>17076</v>
      </c>
      <c r="F145" s="110">
        <f>F137+F139+F141+F143</f>
        <v>0</v>
      </c>
      <c r="G145" s="71">
        <f t="shared" si="2"/>
        <v>0</v>
      </c>
      <c r="H145" s="43"/>
      <c r="I145" s="72"/>
      <c r="J145" s="78"/>
    </row>
    <row r="146" spans="1:10" ht="17.25" customHeight="1">
      <c r="A146" s="495">
        <v>801</v>
      </c>
      <c r="B146" s="498">
        <v>80150</v>
      </c>
      <c r="C146" s="15">
        <v>3020</v>
      </c>
      <c r="D146" s="21" t="s">
        <v>359</v>
      </c>
      <c r="E146" s="82">
        <f>E147</f>
        <v>16688</v>
      </c>
      <c r="F146" s="82">
        <f>F147</f>
        <v>20500</v>
      </c>
      <c r="G146" s="23">
        <f t="shared" si="2"/>
        <v>1.2284276126558005</v>
      </c>
      <c r="H146" s="43"/>
      <c r="J146" s="78"/>
    </row>
    <row r="147" spans="1:10" ht="17.25" customHeight="1">
      <c r="A147" s="497"/>
      <c r="B147" s="499"/>
      <c r="C147" s="15"/>
      <c r="D147" s="21" t="s">
        <v>782</v>
      </c>
      <c r="E147" s="82">
        <v>16688</v>
      </c>
      <c r="F147" s="82">
        <v>20500</v>
      </c>
      <c r="G147" s="23">
        <f t="shared" si="2"/>
        <v>1.2284276126558005</v>
      </c>
      <c r="H147" s="43"/>
      <c r="J147" s="78"/>
    </row>
    <row r="148" spans="1:10" ht="17.25" customHeight="1">
      <c r="A148" s="497"/>
      <c r="B148" s="499"/>
      <c r="C148" s="15">
        <v>4010</v>
      </c>
      <c r="D148" s="21" t="s">
        <v>348</v>
      </c>
      <c r="E148" s="82">
        <f>E149</f>
        <v>191991</v>
      </c>
      <c r="F148" s="82">
        <f>F149</f>
        <v>258000</v>
      </c>
      <c r="G148" s="23">
        <f t="shared" si="2"/>
        <v>1.343812991233964</v>
      </c>
      <c r="H148" s="43"/>
    </row>
    <row r="149" spans="1:10" ht="17.25" customHeight="1">
      <c r="A149" s="497"/>
      <c r="B149" s="499"/>
      <c r="C149" s="15"/>
      <c r="D149" s="21" t="s">
        <v>297</v>
      </c>
      <c r="E149" s="82">
        <v>191991</v>
      </c>
      <c r="F149" s="82">
        <v>258000</v>
      </c>
      <c r="G149" s="23">
        <f t="shared" si="2"/>
        <v>1.343812991233964</v>
      </c>
      <c r="H149" s="43"/>
    </row>
    <row r="150" spans="1:10" ht="17.25" customHeight="1">
      <c r="A150" s="497"/>
      <c r="B150" s="499"/>
      <c r="C150" s="20">
        <v>4110</v>
      </c>
      <c r="D150" s="21" t="s">
        <v>446</v>
      </c>
      <c r="E150" s="82">
        <f>SUM(E151:E151)</f>
        <v>37300</v>
      </c>
      <c r="F150" s="82">
        <f>SUM(F151:F151)</f>
        <v>48000</v>
      </c>
      <c r="G150" s="23">
        <f t="shared" si="2"/>
        <v>1.2868632707774799</v>
      </c>
      <c r="H150" s="43"/>
    </row>
    <row r="151" spans="1:10" ht="17.25" customHeight="1">
      <c r="A151" s="497"/>
      <c r="B151" s="499"/>
      <c r="C151" s="20"/>
      <c r="D151" s="21" t="s">
        <v>298</v>
      </c>
      <c r="E151" s="82">
        <v>37300</v>
      </c>
      <c r="F151" s="82">
        <v>48000</v>
      </c>
      <c r="G151" s="23">
        <f t="shared" si="2"/>
        <v>1.2868632707774799</v>
      </c>
      <c r="H151" s="43"/>
    </row>
    <row r="152" spans="1:10" ht="17.25" customHeight="1">
      <c r="A152" s="497"/>
      <c r="B152" s="499"/>
      <c r="C152" s="20">
        <v>4120</v>
      </c>
      <c r="D152" s="21" t="s">
        <v>301</v>
      </c>
      <c r="E152" s="82">
        <f>E153</f>
        <v>4601</v>
      </c>
      <c r="F152" s="82">
        <f>F153</f>
        <v>6800</v>
      </c>
      <c r="G152" s="23">
        <f t="shared" si="2"/>
        <v>1.477939578352532</v>
      </c>
      <c r="H152" s="43"/>
    </row>
    <row r="153" spans="1:10" ht="17.25" customHeight="1">
      <c r="A153" s="497"/>
      <c r="B153" s="499"/>
      <c r="C153" s="20"/>
      <c r="D153" s="21" t="s">
        <v>103</v>
      </c>
      <c r="E153" s="82">
        <v>4601</v>
      </c>
      <c r="F153" s="82">
        <v>6800</v>
      </c>
      <c r="G153" s="23">
        <f t="shared" si="2"/>
        <v>1.477939578352532</v>
      </c>
      <c r="H153" s="43"/>
    </row>
    <row r="154" spans="1:10" ht="17.25" customHeight="1">
      <c r="A154" s="497"/>
      <c r="B154" s="499"/>
      <c r="C154" s="20">
        <v>4210</v>
      </c>
      <c r="D154" s="21" t="s">
        <v>274</v>
      </c>
      <c r="E154" s="82">
        <f>SUM(E155:E156)</f>
        <v>3000</v>
      </c>
      <c r="F154" s="82">
        <f>SUM(F155:F156)</f>
        <v>2500</v>
      </c>
      <c r="G154" s="23">
        <f t="shared" si="2"/>
        <v>0.83333333333333337</v>
      </c>
      <c r="H154" s="43"/>
    </row>
    <row r="155" spans="1:10" ht="17.25" customHeight="1">
      <c r="A155" s="497"/>
      <c r="B155" s="499"/>
      <c r="C155" s="15"/>
      <c r="D155" s="21" t="s">
        <v>508</v>
      </c>
      <c r="E155" s="82">
        <v>3000</v>
      </c>
      <c r="F155" s="82">
        <v>2500</v>
      </c>
      <c r="G155" s="23">
        <f t="shared" si="2"/>
        <v>0.83333333333333337</v>
      </c>
      <c r="H155" s="43"/>
    </row>
    <row r="156" spans="1:10" ht="17.25" hidden="1" customHeight="1">
      <c r="A156" s="497"/>
      <c r="B156" s="499"/>
      <c r="C156" s="15"/>
      <c r="D156" s="21" t="s">
        <v>469</v>
      </c>
      <c r="E156" s="82">
        <v>0</v>
      </c>
      <c r="F156" s="82">
        <v>0</v>
      </c>
      <c r="G156" s="23" t="e">
        <f t="shared" si="2"/>
        <v>#DIV/0!</v>
      </c>
      <c r="H156" s="43"/>
    </row>
    <row r="157" spans="1:10" ht="17.25" customHeight="1">
      <c r="A157" s="497"/>
      <c r="B157" s="499"/>
      <c r="C157" s="20">
        <v>4240</v>
      </c>
      <c r="D157" s="21" t="s">
        <v>179</v>
      </c>
      <c r="E157" s="82">
        <f>SUM(E158:E158)</f>
        <v>14000</v>
      </c>
      <c r="F157" s="82">
        <f>SUM(F158:F158)</f>
        <v>6000</v>
      </c>
      <c r="G157" s="23">
        <f t="shared" si="2"/>
        <v>0.42857142857142855</v>
      </c>
      <c r="H157" s="43"/>
    </row>
    <row r="158" spans="1:10" ht="17.25" customHeight="1">
      <c r="A158" s="497"/>
      <c r="B158" s="499"/>
      <c r="C158" s="15"/>
      <c r="D158" s="21" t="s">
        <v>543</v>
      </c>
      <c r="E158" s="82">
        <v>14000</v>
      </c>
      <c r="F158" s="82">
        <v>6000</v>
      </c>
      <c r="G158" s="23">
        <f t="shared" si="2"/>
        <v>0.42857142857142855</v>
      </c>
      <c r="H158" s="43"/>
    </row>
    <row r="159" spans="1:10" ht="17.25" hidden="1" customHeight="1">
      <c r="A159" s="497"/>
      <c r="B159" s="499"/>
      <c r="C159" s="20">
        <v>4270</v>
      </c>
      <c r="D159" s="21" t="s">
        <v>238</v>
      </c>
      <c r="E159" s="82">
        <f>E160</f>
        <v>0</v>
      </c>
      <c r="F159" s="82">
        <f>F160</f>
        <v>0</v>
      </c>
      <c r="G159" s="23" t="e">
        <f>SUM(F159/E159)</f>
        <v>#DIV/0!</v>
      </c>
      <c r="H159" s="43"/>
    </row>
    <row r="160" spans="1:10" ht="17.25" hidden="1" customHeight="1">
      <c r="A160" s="497"/>
      <c r="B160" s="499"/>
      <c r="C160" s="20"/>
      <c r="D160" s="21" t="str">
        <f>'Zbiorczo-paragr'!D501</f>
        <v xml:space="preserve">Zakup usług remontowych SP - subwencja oświatowa                             </v>
      </c>
      <c r="E160" s="82">
        <v>0</v>
      </c>
      <c r="F160" s="82">
        <v>0</v>
      </c>
      <c r="G160" s="23" t="e">
        <f>SUM(F160/E160)</f>
        <v>#DIV/0!</v>
      </c>
      <c r="H160" s="43"/>
    </row>
    <row r="161" spans="1:10" ht="17.25" customHeight="1">
      <c r="A161" s="497"/>
      <c r="B161" s="499"/>
      <c r="C161" s="20">
        <v>4300</v>
      </c>
      <c r="D161" s="21" t="str">
        <f>'Zbiorczo-paragr'!D502</f>
        <v xml:space="preserve">Zakup usług pozostałych                                 </v>
      </c>
      <c r="E161" s="82">
        <f>E162</f>
        <v>0</v>
      </c>
      <c r="F161" s="82">
        <f>F162</f>
        <v>100</v>
      </c>
      <c r="G161" s="23" t="e">
        <f>SUM(F161/E161)</f>
        <v>#DIV/0!</v>
      </c>
      <c r="H161" s="43"/>
    </row>
    <row r="162" spans="1:10" ht="17.25" customHeight="1">
      <c r="A162" s="497"/>
      <c r="B162" s="499"/>
      <c r="C162" s="20"/>
      <c r="D162" s="21" t="s">
        <v>755</v>
      </c>
      <c r="E162" s="82">
        <v>0</v>
      </c>
      <c r="F162" s="82">
        <v>100</v>
      </c>
      <c r="G162" s="23" t="e">
        <f>SUM(F162/E162)</f>
        <v>#DIV/0!</v>
      </c>
      <c r="H162" s="43"/>
    </row>
    <row r="163" spans="1:10" ht="17.25" customHeight="1">
      <c r="A163" s="497"/>
      <c r="B163" s="499"/>
      <c r="C163" s="20">
        <v>4700</v>
      </c>
      <c r="D163" s="21" t="str">
        <f>'Zbiorczo-paragr'!D504</f>
        <v>Szkolenie pracowników niebędących członkami korpusu służby cywilnej</v>
      </c>
      <c r="E163" s="82">
        <f>E164</f>
        <v>5950</v>
      </c>
      <c r="F163" s="82">
        <f>F164</f>
        <v>7000</v>
      </c>
      <c r="G163" s="23">
        <f t="shared" si="2"/>
        <v>1.1764705882352942</v>
      </c>
      <c r="H163" s="43"/>
    </row>
    <row r="164" spans="1:10" ht="17.25" customHeight="1">
      <c r="A164" s="497"/>
      <c r="B164" s="499"/>
      <c r="C164" s="20"/>
      <c r="D164" s="21" t="s">
        <v>756</v>
      </c>
      <c r="E164" s="82">
        <v>5950</v>
      </c>
      <c r="F164" s="82">
        <v>7000</v>
      </c>
      <c r="G164" s="23">
        <f t="shared" si="2"/>
        <v>1.1764705882352942</v>
      </c>
      <c r="H164" s="43"/>
    </row>
    <row r="165" spans="1:10" ht="22.15" customHeight="1">
      <c r="A165" s="501" t="s">
        <v>665</v>
      </c>
      <c r="B165" s="502"/>
      <c r="C165" s="503"/>
      <c r="D165" s="504"/>
      <c r="E165" s="84">
        <f>SUM(E146+E148+E150+E152+E154+E157+E159+E163+E161)</f>
        <v>273530</v>
      </c>
      <c r="F165" s="84">
        <f>SUM(F146+F148+F150+F152+F154+F157+F159+F163+F161)</f>
        <v>348900</v>
      </c>
      <c r="G165" s="26">
        <f t="shared" si="2"/>
        <v>1.2755456439878623</v>
      </c>
      <c r="H165" s="43"/>
      <c r="I165" s="72"/>
      <c r="J165" s="78"/>
    </row>
    <row r="166" spans="1:10" ht="19.149999999999999" customHeight="1">
      <c r="A166" s="582"/>
      <c r="B166" s="495">
        <v>80152</v>
      </c>
      <c r="C166" s="15">
        <v>3020</v>
      </c>
      <c r="D166" s="21" t="s">
        <v>359</v>
      </c>
      <c r="E166" s="82">
        <f>E168+E167</f>
        <v>19960</v>
      </c>
      <c r="F166" s="82">
        <f>F168+F167</f>
        <v>2550</v>
      </c>
      <c r="G166" s="23">
        <f t="shared" ref="G166:G187" si="3">SUM(F166/E166)</f>
        <v>0.12775551102204408</v>
      </c>
      <c r="H166" s="43"/>
      <c r="J166" s="78"/>
    </row>
    <row r="167" spans="1:10" ht="19.149999999999999" customHeight="1">
      <c r="A167" s="583"/>
      <c r="B167" s="496"/>
      <c r="C167" s="15"/>
      <c r="D167" s="21" t="s">
        <v>783</v>
      </c>
      <c r="E167" s="82">
        <v>9640</v>
      </c>
      <c r="F167" s="82">
        <v>900</v>
      </c>
      <c r="G167" s="23">
        <f t="shared" si="3"/>
        <v>9.3360995850622408E-2</v>
      </c>
      <c r="H167" s="43"/>
      <c r="J167" s="78"/>
    </row>
    <row r="168" spans="1:10" ht="19.149999999999999" customHeight="1">
      <c r="A168" s="583"/>
      <c r="B168" s="496"/>
      <c r="C168" s="15"/>
      <c r="D168" s="21" t="s">
        <v>784</v>
      </c>
      <c r="E168" s="82">
        <v>10320</v>
      </c>
      <c r="F168" s="82">
        <v>1650</v>
      </c>
      <c r="G168" s="23">
        <f t="shared" si="3"/>
        <v>0.15988372093023256</v>
      </c>
      <c r="H168" s="43"/>
      <c r="J168" s="78"/>
    </row>
    <row r="169" spans="1:10" ht="16.149999999999999" customHeight="1">
      <c r="A169" s="583"/>
      <c r="B169" s="496"/>
      <c r="C169" s="15">
        <v>4010</v>
      </c>
      <c r="D169" s="21" t="s">
        <v>348</v>
      </c>
      <c r="E169" s="82">
        <f>E171+E170</f>
        <v>166791</v>
      </c>
      <c r="F169" s="82">
        <f>F171+F170</f>
        <v>32000</v>
      </c>
      <c r="G169" s="23">
        <f t="shared" si="3"/>
        <v>0.19185687477142052</v>
      </c>
      <c r="H169" s="43"/>
      <c r="J169" s="78"/>
    </row>
    <row r="170" spans="1:10" ht="15.6" customHeight="1">
      <c r="A170" s="583"/>
      <c r="B170" s="496"/>
      <c r="C170" s="15"/>
      <c r="D170" s="21" t="s">
        <v>505</v>
      </c>
      <c r="E170" s="82">
        <v>90153</v>
      </c>
      <c r="F170" s="82">
        <v>11000</v>
      </c>
      <c r="G170" s="23">
        <f t="shared" si="3"/>
        <v>0.12201479706720797</v>
      </c>
      <c r="H170" s="43"/>
      <c r="J170" s="78"/>
    </row>
    <row r="171" spans="1:10" ht="15" customHeight="1">
      <c r="A171" s="583"/>
      <c r="B171" s="496"/>
      <c r="C171" s="15"/>
      <c r="D171" s="21" t="s">
        <v>101</v>
      </c>
      <c r="E171" s="82">
        <v>76638</v>
      </c>
      <c r="F171" s="82">
        <v>21000</v>
      </c>
      <c r="G171" s="23">
        <f t="shared" si="3"/>
        <v>0.27401550144836767</v>
      </c>
      <c r="H171" s="43"/>
      <c r="J171" s="78"/>
    </row>
    <row r="172" spans="1:10" ht="15" customHeight="1">
      <c r="A172" s="583"/>
      <c r="B172" s="496"/>
      <c r="C172" s="20">
        <v>4110</v>
      </c>
      <c r="D172" s="21" t="s">
        <v>446</v>
      </c>
      <c r="E172" s="82">
        <f>SUM(E173:E174)</f>
        <v>32532</v>
      </c>
      <c r="F172" s="82">
        <f>SUM(F173:F174)</f>
        <v>5800</v>
      </c>
      <c r="G172" s="23">
        <f t="shared" si="3"/>
        <v>0.17828599532767736</v>
      </c>
      <c r="H172" s="43"/>
      <c r="J172" s="78"/>
    </row>
    <row r="173" spans="1:10" ht="15" customHeight="1">
      <c r="A173" s="583"/>
      <c r="B173" s="496"/>
      <c r="C173" s="20"/>
      <c r="D173" s="21" t="s">
        <v>506</v>
      </c>
      <c r="E173" s="82">
        <v>17584</v>
      </c>
      <c r="F173" s="82">
        <v>2000</v>
      </c>
      <c r="G173" s="23">
        <f t="shared" si="3"/>
        <v>0.11373976342129208</v>
      </c>
      <c r="H173" s="43"/>
      <c r="J173" s="78"/>
    </row>
    <row r="174" spans="1:10" ht="15" customHeight="1">
      <c r="A174" s="583"/>
      <c r="B174" s="496"/>
      <c r="C174" s="15"/>
      <c r="D174" s="21" t="s">
        <v>102</v>
      </c>
      <c r="E174" s="82">
        <v>14948</v>
      </c>
      <c r="F174" s="82">
        <v>3800</v>
      </c>
      <c r="G174" s="23">
        <f t="shared" si="3"/>
        <v>0.25421461065025419</v>
      </c>
      <c r="H174" s="43"/>
      <c r="J174" s="78"/>
    </row>
    <row r="175" spans="1:10" ht="15" customHeight="1">
      <c r="A175" s="583"/>
      <c r="B175" s="496"/>
      <c r="C175" s="20">
        <v>4120</v>
      </c>
      <c r="D175" s="21" t="s">
        <v>301</v>
      </c>
      <c r="E175" s="82">
        <f>E177+E176</f>
        <v>4637</v>
      </c>
      <c r="F175" s="82">
        <f>F177+F176</f>
        <v>840</v>
      </c>
      <c r="G175" s="23">
        <f t="shared" ref="G175:G181" si="4">SUM(F175/E175)</f>
        <v>0.18115160664222557</v>
      </c>
      <c r="H175" s="43"/>
      <c r="J175" s="78"/>
    </row>
    <row r="176" spans="1:10" ht="15" customHeight="1">
      <c r="A176" s="583"/>
      <c r="B176" s="496"/>
      <c r="C176" s="20"/>
      <c r="D176" s="21" t="s">
        <v>507</v>
      </c>
      <c r="E176" s="82">
        <v>2506</v>
      </c>
      <c r="F176" s="82">
        <v>290</v>
      </c>
      <c r="G176" s="23">
        <f t="shared" si="4"/>
        <v>0.11572226656025539</v>
      </c>
      <c r="H176" s="43"/>
      <c r="J176" s="78"/>
    </row>
    <row r="177" spans="1:12" ht="15" customHeight="1">
      <c r="A177" s="583"/>
      <c r="B177" s="496"/>
      <c r="C177" s="15"/>
      <c r="D177" s="21" t="s">
        <v>104</v>
      </c>
      <c r="E177" s="82">
        <v>2131</v>
      </c>
      <c r="F177" s="82">
        <v>550</v>
      </c>
      <c r="G177" s="23">
        <f t="shared" si="4"/>
        <v>0.25809479117785078</v>
      </c>
      <c r="H177" s="43"/>
      <c r="J177" s="78"/>
    </row>
    <row r="178" spans="1:12" ht="18.75" customHeight="1">
      <c r="A178" s="583"/>
      <c r="B178" s="496"/>
      <c r="C178" s="20">
        <v>4240</v>
      </c>
      <c r="D178" s="20" t="str">
        <f>'Zbiorczo-paragr'!D519</f>
        <v xml:space="preserve">Zakup pomocy naukowych, dydaktycznych i książek         </v>
      </c>
      <c r="E178" s="82">
        <f>E179</f>
        <v>1000</v>
      </c>
      <c r="F178" s="82">
        <f>F179</f>
        <v>1000</v>
      </c>
      <c r="G178" s="23">
        <f t="shared" si="4"/>
        <v>1</v>
      </c>
      <c r="H178" s="43"/>
      <c r="J178" s="78"/>
    </row>
    <row r="179" spans="1:12" ht="18.75" customHeight="1">
      <c r="A179" s="583"/>
      <c r="B179" s="496"/>
      <c r="C179" s="20"/>
      <c r="D179" s="20" t="str">
        <f>'Zbiorczo-paragr'!D520</f>
        <v>Zakup pomocy dydaktycznych LO- subwencja oświatowa</v>
      </c>
      <c r="E179" s="82">
        <v>1000</v>
      </c>
      <c r="F179" s="82">
        <v>1000</v>
      </c>
      <c r="G179" s="23">
        <f t="shared" si="4"/>
        <v>1</v>
      </c>
      <c r="H179" s="43"/>
      <c r="J179" s="78"/>
    </row>
    <row r="180" spans="1:12" ht="18.75" customHeight="1">
      <c r="A180" s="583"/>
      <c r="B180" s="496"/>
      <c r="C180" s="20">
        <v>4700</v>
      </c>
      <c r="D180" s="20" t="str">
        <f>'Zbiorczo-paragr'!D521</f>
        <v>Szkolenie pracowników niebędących członkami korpusu służby cywilnej</v>
      </c>
      <c r="E180" s="82">
        <f>E181</f>
        <v>1500</v>
      </c>
      <c r="F180" s="82">
        <f>F181</f>
        <v>800</v>
      </c>
      <c r="G180" s="23">
        <f t="shared" si="4"/>
        <v>0.53333333333333333</v>
      </c>
      <c r="H180" s="43"/>
      <c r="J180" s="78"/>
    </row>
    <row r="181" spans="1:12" ht="18.600000000000001" customHeight="1">
      <c r="A181" s="583"/>
      <c r="B181" s="496"/>
      <c r="C181" s="20"/>
      <c r="D181" s="20" t="str">
        <f>'Zbiorczo-paragr'!D522</f>
        <v>szkolenie pracowników LO- subwencja oświatowa</v>
      </c>
      <c r="E181" s="82">
        <v>1500</v>
      </c>
      <c r="F181" s="82">
        <v>800</v>
      </c>
      <c r="G181" s="23">
        <f t="shared" si="4"/>
        <v>0.53333333333333333</v>
      </c>
      <c r="H181" s="43"/>
      <c r="J181" s="78"/>
    </row>
    <row r="182" spans="1:12" ht="45.75" customHeight="1">
      <c r="A182" s="501" t="s">
        <v>664</v>
      </c>
      <c r="B182" s="502"/>
      <c r="C182" s="503"/>
      <c r="D182" s="504"/>
      <c r="E182" s="84">
        <f>SUM(E166+E169+E172+E178+E175+E180)</f>
        <v>226420</v>
      </c>
      <c r="F182" s="84">
        <f>SUM(F166+F169+F172+F178+F175+F180)</f>
        <v>42990</v>
      </c>
      <c r="G182" s="26">
        <f t="shared" si="3"/>
        <v>0.18986838618496599</v>
      </c>
      <c r="H182" s="43"/>
      <c r="I182" s="78"/>
      <c r="J182" s="98"/>
    </row>
    <row r="183" spans="1:12" ht="17.25" customHeight="1">
      <c r="A183" s="495">
        <v>801</v>
      </c>
      <c r="B183" s="495">
        <v>80153</v>
      </c>
      <c r="C183" s="495">
        <v>4240</v>
      </c>
      <c r="D183" s="35" t="str">
        <f>'Zbiorczo-paragr'!D526</f>
        <v xml:space="preserve">Zakup pomocy naukowych, dydaktycznych i książek         </v>
      </c>
      <c r="E183" s="82">
        <f>SUM(E184:E186)</f>
        <v>69213.429999999993</v>
      </c>
      <c r="F183" s="82">
        <f>SUM(F184:F186)</f>
        <v>0</v>
      </c>
      <c r="G183" s="23">
        <f t="shared" si="3"/>
        <v>0</v>
      </c>
      <c r="H183" s="43"/>
      <c r="J183" s="78"/>
    </row>
    <row r="184" spans="1:12" ht="21.75" customHeight="1">
      <c r="A184" s="496"/>
      <c r="B184" s="496"/>
      <c r="C184" s="496"/>
      <c r="D184" s="35" t="s">
        <v>707</v>
      </c>
      <c r="E184" s="82">
        <v>66339.899999999994</v>
      </c>
      <c r="F184" s="82"/>
      <c r="G184" s="23">
        <f t="shared" si="3"/>
        <v>0</v>
      </c>
      <c r="H184" s="43"/>
      <c r="J184" s="78"/>
    </row>
    <row r="185" spans="1:12" ht="18.75" customHeight="1">
      <c r="A185" s="496"/>
      <c r="B185" s="496"/>
      <c r="C185" s="496"/>
      <c r="D185" s="35" t="s">
        <v>708</v>
      </c>
      <c r="E185" s="82">
        <v>2450.25</v>
      </c>
      <c r="F185" s="82"/>
      <c r="G185" s="23">
        <f t="shared" si="3"/>
        <v>0</v>
      </c>
      <c r="H185" s="43"/>
      <c r="J185" s="78"/>
    </row>
    <row r="186" spans="1:12" ht="21" customHeight="1">
      <c r="A186" s="528"/>
      <c r="B186" s="528"/>
      <c r="C186" s="528"/>
      <c r="D186" s="35" t="s">
        <v>709</v>
      </c>
      <c r="E186" s="82">
        <v>423.28</v>
      </c>
      <c r="F186" s="82"/>
      <c r="G186" s="23">
        <f t="shared" si="3"/>
        <v>0</v>
      </c>
      <c r="H186" s="43"/>
      <c r="J186" s="78"/>
    </row>
    <row r="187" spans="1:12" ht="34.5" customHeight="1">
      <c r="A187" s="512" t="str">
        <f>'Zbiorczo-paragr'!A536:D536</f>
        <v>80153 Zapewnienie uczniom prawa do bezpłatnego dostępu do podręcznikó, materiałów edukacyjnych lub materiałów ćwiczeniowych : Razem</v>
      </c>
      <c r="B187" s="513"/>
      <c r="C187" s="513"/>
      <c r="D187" s="514"/>
      <c r="E187" s="84">
        <f>SUM(E183)</f>
        <v>69213.429999999993</v>
      </c>
      <c r="F187" s="84">
        <f>SUM(F183)</f>
        <v>0</v>
      </c>
      <c r="G187" s="26">
        <f t="shared" si="3"/>
        <v>0</v>
      </c>
      <c r="H187" s="43"/>
      <c r="J187" s="78"/>
    </row>
    <row r="188" spans="1:12" ht="18" customHeight="1">
      <c r="A188" s="519" t="str">
        <f>'Zbiorczo-paragr'!A549:D549</f>
        <v xml:space="preserve">801 Oświata i wychowanie - Razem                                    </v>
      </c>
      <c r="B188" s="520"/>
      <c r="C188" s="520"/>
      <c r="D188" s="520"/>
      <c r="E188" s="110">
        <f>E41+E59+E90+E123+E136+E145+E165+E182+E187</f>
        <v>9782827.4299999997</v>
      </c>
      <c r="F188" s="110">
        <f>F41+F59+F90+F123+F136+F145+F165+F182</f>
        <v>10470925</v>
      </c>
      <c r="G188" s="71">
        <f t="shared" si="2"/>
        <v>1.0703372900036938</v>
      </c>
      <c r="H188" s="43" t="e">
        <f>F188/#REF!</f>
        <v>#REF!</v>
      </c>
      <c r="J188" s="78"/>
      <c r="L188" s="78"/>
    </row>
    <row r="189" spans="1:12" ht="15.75">
      <c r="A189" s="15">
        <f>'Zbiorczo-paragr'!A554</f>
        <v>854</v>
      </c>
      <c r="B189" s="15">
        <f>'Zbiorczo-paragr'!B554</f>
        <v>85401</v>
      </c>
      <c r="C189" s="15">
        <f>'Zbiorczo-paragr'!C554</f>
        <v>3020</v>
      </c>
      <c r="D189" s="57" t="str">
        <f>'Zbiorczo-paragr'!D554</f>
        <v xml:space="preserve">Nagrody i wydatki osobowe niezaliczone do wynagrodzeń  </v>
      </c>
      <c r="E189" s="108">
        <f>SUM(E190:E190)</f>
        <v>82500</v>
      </c>
      <c r="F189" s="108">
        <f>SUM(F190:F190)</f>
        <v>57500</v>
      </c>
      <c r="G189" s="70">
        <f t="shared" si="2"/>
        <v>0.69696969696969702</v>
      </c>
      <c r="H189" s="43" t="e">
        <f>F189/#REF!</f>
        <v>#REF!</v>
      </c>
    </row>
    <row r="190" spans="1:12" ht="15" customHeight="1">
      <c r="A190" s="15"/>
      <c r="B190" s="27"/>
      <c r="C190" s="27"/>
      <c r="D190" s="29" t="s">
        <v>780</v>
      </c>
      <c r="E190" s="108">
        <v>82500</v>
      </c>
      <c r="F190" s="108">
        <v>57500</v>
      </c>
      <c r="G190" s="70">
        <f t="shared" si="2"/>
        <v>0.69696969696969702</v>
      </c>
      <c r="H190" s="43" t="e">
        <f>F190/#REF!</f>
        <v>#REF!</v>
      </c>
    </row>
    <row r="191" spans="1:12" ht="15" customHeight="1">
      <c r="A191" s="15"/>
      <c r="B191" s="27"/>
      <c r="C191" s="27">
        <f>'Zbiorczo-paragr'!C558</f>
        <v>4010</v>
      </c>
      <c r="D191" s="27" t="str">
        <f>'Zbiorczo-paragr'!D558</f>
        <v xml:space="preserve">Wynagrodzenia osobowe pracowników                       </v>
      </c>
      <c r="E191" s="108">
        <f>SUM(E192:E193)</f>
        <v>531850</v>
      </c>
      <c r="F191" s="108">
        <f>SUM(F192:F193)</f>
        <v>574000</v>
      </c>
      <c r="G191" s="70">
        <f t="shared" si="2"/>
        <v>1.0792516687035818</v>
      </c>
      <c r="H191" s="43" t="e">
        <f>F191/#REF!</f>
        <v>#REF!</v>
      </c>
    </row>
    <row r="192" spans="1:12" ht="29.25" customHeight="1">
      <c r="A192" s="15"/>
      <c r="B192" s="27"/>
      <c r="C192" s="27"/>
      <c r="D192" s="60" t="s">
        <v>191</v>
      </c>
      <c r="E192" s="108">
        <f>531850-E193</f>
        <v>516550</v>
      </c>
      <c r="F192" s="108">
        <f>574000-F193</f>
        <v>574000</v>
      </c>
      <c r="G192" s="70">
        <f t="shared" si="2"/>
        <v>1.1112186622785791</v>
      </c>
      <c r="H192" s="43" t="e">
        <f>F192/#REF!</f>
        <v>#REF!</v>
      </c>
    </row>
    <row r="193" spans="1:9" ht="19.149999999999999" customHeight="1">
      <c r="A193" s="15"/>
      <c r="B193" s="27"/>
      <c r="C193" s="27"/>
      <c r="D193" s="29" t="s">
        <v>217</v>
      </c>
      <c r="E193" s="108">
        <v>15300</v>
      </c>
      <c r="F193" s="108">
        <v>0</v>
      </c>
      <c r="G193" s="70">
        <f t="shared" si="2"/>
        <v>0</v>
      </c>
      <c r="H193" s="43"/>
    </row>
    <row r="194" spans="1:9" ht="32.25" customHeight="1">
      <c r="A194" s="15"/>
      <c r="B194" s="27"/>
      <c r="C194" s="27">
        <f>'Zbiorczo-paragr'!C564</f>
        <v>4040</v>
      </c>
      <c r="D194" s="27" t="s">
        <v>227</v>
      </c>
      <c r="E194" s="108">
        <v>30400</v>
      </c>
      <c r="F194" s="108">
        <v>36000</v>
      </c>
      <c r="G194" s="70">
        <f t="shared" si="2"/>
        <v>1.1842105263157894</v>
      </c>
      <c r="H194" s="43" t="e">
        <f>F194/#REF!</f>
        <v>#REF!</v>
      </c>
    </row>
    <row r="195" spans="1:9" ht="15" customHeight="1">
      <c r="A195" s="15"/>
      <c r="B195" s="27"/>
      <c r="C195" s="27">
        <f>'Zbiorczo-paragr'!C568</f>
        <v>4110</v>
      </c>
      <c r="D195" s="27" t="str">
        <f>'Zbiorczo-paragr'!D568</f>
        <v xml:space="preserve">Składki na ubezpieczenia społeczne                      </v>
      </c>
      <c r="E195" s="108">
        <v>112150</v>
      </c>
      <c r="F195" s="108">
        <v>120000</v>
      </c>
      <c r="G195" s="70">
        <f t="shared" si="2"/>
        <v>1.0699955416852429</v>
      </c>
      <c r="H195" s="43" t="e">
        <f>F195/#REF!</f>
        <v>#REF!</v>
      </c>
    </row>
    <row r="196" spans="1:9" ht="15.75" customHeight="1">
      <c r="A196" s="15"/>
      <c r="B196" s="27"/>
      <c r="C196" s="27">
        <f>'Zbiorczo-paragr'!C572</f>
        <v>4120</v>
      </c>
      <c r="D196" s="27" t="str">
        <f>'Zbiorczo-paragr'!D572</f>
        <v xml:space="preserve">Składki na Fundusz Pracy                                </v>
      </c>
      <c r="E196" s="108">
        <v>13240</v>
      </c>
      <c r="F196" s="108">
        <v>14000</v>
      </c>
      <c r="G196" s="70">
        <f t="shared" si="2"/>
        <v>1.0574018126888218</v>
      </c>
      <c r="H196" s="43" t="e">
        <f>F196/#REF!</f>
        <v>#REF!</v>
      </c>
    </row>
    <row r="197" spans="1:9" ht="16.5" customHeight="1">
      <c r="A197" s="15"/>
      <c r="B197" s="27"/>
      <c r="C197" s="27">
        <f>'Zbiorczo-paragr'!C576</f>
        <v>4210</v>
      </c>
      <c r="D197" s="27" t="str">
        <f>'Zbiorczo-paragr'!D576</f>
        <v xml:space="preserve">Zakup materiałów i wyposażenia                          </v>
      </c>
      <c r="E197" s="109">
        <f>SUM(E198)</f>
        <v>1500</v>
      </c>
      <c r="F197" s="109">
        <f>SUM(F198)</f>
        <v>1000</v>
      </c>
      <c r="G197" s="70">
        <f t="shared" ref="G197:G229" si="5">SUM(F197/E197)</f>
        <v>0.66666666666666663</v>
      </c>
      <c r="H197" s="43" t="e">
        <f>F197/#REF!</f>
        <v>#REF!</v>
      </c>
    </row>
    <row r="198" spans="1:9" ht="15.75" customHeight="1">
      <c r="A198" s="15"/>
      <c r="B198" s="27"/>
      <c r="C198" s="27"/>
      <c r="D198" s="21" t="s">
        <v>13</v>
      </c>
      <c r="E198" s="108">
        <v>1500</v>
      </c>
      <c r="F198" s="108">
        <v>1000</v>
      </c>
      <c r="G198" s="70">
        <f t="shared" si="5"/>
        <v>0.66666666666666663</v>
      </c>
      <c r="H198" s="43" t="e">
        <f>F198/#REF!</f>
        <v>#REF!</v>
      </c>
    </row>
    <row r="199" spans="1:9" ht="18" customHeight="1">
      <c r="A199" s="15"/>
      <c r="B199" s="27"/>
      <c r="C199" s="27">
        <f>'Zbiorczo-paragr'!C582</f>
        <v>4240</v>
      </c>
      <c r="D199" s="27" t="str">
        <f>'Zbiorczo-paragr'!D582</f>
        <v xml:space="preserve">Zakup pomocy naukowych, dydaktycznych i książek         </v>
      </c>
      <c r="E199" s="108">
        <v>3000</v>
      </c>
      <c r="F199" s="108">
        <v>3000</v>
      </c>
      <c r="G199" s="70">
        <f t="shared" si="5"/>
        <v>1</v>
      </c>
      <c r="H199" s="43" t="e">
        <f>F199/#REF!</f>
        <v>#REF!</v>
      </c>
    </row>
    <row r="200" spans="1:9" ht="16.5" customHeight="1">
      <c r="A200" s="15"/>
      <c r="B200" s="27"/>
      <c r="C200" s="27">
        <v>4300</v>
      </c>
      <c r="D200" s="27" t="str">
        <f>'Zbiorczo-paragr'!D586</f>
        <v xml:space="preserve">Zakup usług pozostałych                                 </v>
      </c>
      <c r="E200" s="108">
        <f>E201</f>
        <v>100</v>
      </c>
      <c r="F200" s="108">
        <f>F201</f>
        <v>100</v>
      </c>
      <c r="G200" s="70">
        <f t="shared" si="5"/>
        <v>1</v>
      </c>
      <c r="H200" s="43" t="e">
        <f>F200/#REF!</f>
        <v>#REF!</v>
      </c>
    </row>
    <row r="201" spans="1:9" ht="15.75" customHeight="1">
      <c r="A201" s="15"/>
      <c r="B201" s="27"/>
      <c r="C201" s="27"/>
      <c r="D201" s="27" t="s">
        <v>215</v>
      </c>
      <c r="E201" s="108">
        <v>100</v>
      </c>
      <c r="F201" s="108">
        <v>100</v>
      </c>
      <c r="G201" s="70">
        <f t="shared" si="5"/>
        <v>1</v>
      </c>
      <c r="H201" s="43" t="e">
        <f>F201/#REF!</f>
        <v>#REF!</v>
      </c>
    </row>
    <row r="202" spans="1:9" ht="44.25" customHeight="1">
      <c r="A202" s="15"/>
      <c r="B202" s="27"/>
      <c r="C202" s="27">
        <f>'Zbiorczo-paragr'!C590</f>
        <v>4440</v>
      </c>
      <c r="D202" s="27" t="s">
        <v>16</v>
      </c>
      <c r="E202" s="108">
        <v>38044</v>
      </c>
      <c r="F202" s="108">
        <v>38843</v>
      </c>
      <c r="G202" s="70">
        <f t="shared" si="5"/>
        <v>1.0210019976868889</v>
      </c>
      <c r="H202" s="43" t="e">
        <f>F202/#REF!</f>
        <v>#REF!</v>
      </c>
    </row>
    <row r="203" spans="1:9" s="62" customFormat="1" ht="17.25" customHeight="1">
      <c r="A203" s="490" t="str">
        <f>'Zbiorczo-paragr'!A594:D594</f>
        <v>85401 Świetlice szkolne : Razem</v>
      </c>
      <c r="B203" s="491"/>
      <c r="C203" s="491"/>
      <c r="D203" s="492"/>
      <c r="E203" s="112">
        <f>SUM(E189+E191+E194+E195+E196+E197+E199+E200+E202)</f>
        <v>812784</v>
      </c>
      <c r="F203" s="112">
        <f>SUM(F189+F191+F194+F195+F196+F197+F199+F200+F202)</f>
        <v>844443</v>
      </c>
      <c r="G203" s="71">
        <f t="shared" si="5"/>
        <v>1.0389513080966162</v>
      </c>
      <c r="H203" s="43" t="e">
        <f>F203/#REF!</f>
        <v>#REF!</v>
      </c>
      <c r="I203" s="74"/>
    </row>
    <row r="204" spans="1:9" s="62" customFormat="1" ht="16.5" customHeight="1">
      <c r="A204" s="515">
        <f>'Zbiorczo-paragr'!A605</f>
        <v>854</v>
      </c>
      <c r="B204" s="515">
        <f>'Zbiorczo-paragr'!B605</f>
        <v>85412</v>
      </c>
      <c r="C204" s="15">
        <f>'Zbiorczo-paragr'!C605</f>
        <v>4110</v>
      </c>
      <c r="D204" s="57" t="str">
        <f>'Zbiorczo-paragr'!D605</f>
        <v xml:space="preserve">Składki na ubezpieczenia społeczne                      </v>
      </c>
      <c r="E204" s="109">
        <f>SUM(E205:E205)</f>
        <v>103</v>
      </c>
      <c r="F204" s="109">
        <f>SUM(F205:F205)</f>
        <v>100</v>
      </c>
      <c r="G204" s="70">
        <f t="shared" si="5"/>
        <v>0.970873786407767</v>
      </c>
      <c r="H204" s="43" t="e">
        <f>F204/#REF!</f>
        <v>#REF!</v>
      </c>
      <c r="I204" s="74"/>
    </row>
    <row r="205" spans="1:9" s="62" customFormat="1" ht="15" customHeight="1">
      <c r="A205" s="509"/>
      <c r="B205" s="509"/>
      <c r="C205" s="14"/>
      <c r="D205" s="57" t="s">
        <v>718</v>
      </c>
      <c r="E205" s="109">
        <v>103</v>
      </c>
      <c r="F205" s="109">
        <f>100</f>
        <v>100</v>
      </c>
      <c r="G205" s="70">
        <f t="shared" si="5"/>
        <v>0.970873786407767</v>
      </c>
      <c r="H205" s="43" t="e">
        <f>F205/#REF!</f>
        <v>#REF!</v>
      </c>
    </row>
    <row r="206" spans="1:9" s="62" customFormat="1" ht="15" customHeight="1">
      <c r="A206" s="509"/>
      <c r="B206" s="509"/>
      <c r="C206" s="15">
        <f>'Zbiorczo-paragr'!C608</f>
        <v>4120</v>
      </c>
      <c r="D206" s="57" t="str">
        <f>'Zbiorczo-paragr'!D608</f>
        <v xml:space="preserve">Składki na Fundusz Pracy                                </v>
      </c>
      <c r="E206" s="458">
        <f>E207</f>
        <v>15</v>
      </c>
      <c r="F206" s="458">
        <f>F207</f>
        <v>15</v>
      </c>
      <c r="G206" s="70">
        <f t="shared" si="5"/>
        <v>1</v>
      </c>
      <c r="H206" s="43"/>
    </row>
    <row r="207" spans="1:9" s="62" customFormat="1" ht="15" customHeight="1">
      <c r="A207" s="509"/>
      <c r="B207" s="509"/>
      <c r="C207" s="14"/>
      <c r="D207" s="57" t="s">
        <v>719</v>
      </c>
      <c r="E207" s="109">
        <v>15</v>
      </c>
      <c r="F207" s="109">
        <v>15</v>
      </c>
      <c r="G207" s="70">
        <f t="shared" si="5"/>
        <v>1</v>
      </c>
      <c r="H207" s="43"/>
    </row>
    <row r="208" spans="1:9" s="62" customFormat="1" ht="15" customHeight="1">
      <c r="A208" s="509"/>
      <c r="B208" s="509"/>
      <c r="C208" s="57">
        <f>'Zbiorczo-paragr'!C611</f>
        <v>4170</v>
      </c>
      <c r="D208" s="57" t="str">
        <f>'Zbiorczo-paragr'!D611</f>
        <v>Wynagrodzenia bezosobowe</v>
      </c>
      <c r="E208" s="109">
        <f>E209</f>
        <v>5500</v>
      </c>
      <c r="F208" s="109">
        <f>F209</f>
        <v>5000</v>
      </c>
      <c r="G208" s="70">
        <f t="shared" si="5"/>
        <v>0.90909090909090906</v>
      </c>
      <c r="H208" s="43"/>
    </row>
    <row r="209" spans="1:9" s="62" customFormat="1" ht="15" customHeight="1">
      <c r="A209" s="509"/>
      <c r="B209" s="509"/>
      <c r="C209" s="14"/>
      <c r="D209" s="57" t="s">
        <v>720</v>
      </c>
      <c r="E209" s="109">
        <v>5500</v>
      </c>
      <c r="F209" s="109">
        <v>5000</v>
      </c>
      <c r="G209" s="70">
        <f t="shared" si="5"/>
        <v>0.90909090909090906</v>
      </c>
      <c r="H209" s="43"/>
    </row>
    <row r="210" spans="1:9" ht="16.5" customHeight="1">
      <c r="A210" s="509"/>
      <c r="B210" s="509"/>
      <c r="C210" s="27">
        <f>'Zbiorczo-paragr'!C614</f>
        <v>4210</v>
      </c>
      <c r="D210" s="27" t="str">
        <f>'Zbiorczo-paragr'!D614</f>
        <v xml:space="preserve">Zakup materiałów i wyposażenia                          </v>
      </c>
      <c r="E210" s="109">
        <f>SUM(E211:E211)</f>
        <v>1000</v>
      </c>
      <c r="F210" s="109">
        <f>SUM(F211:F211)</f>
        <v>1000</v>
      </c>
      <c r="G210" s="70">
        <f t="shared" si="5"/>
        <v>1</v>
      </c>
      <c r="H210" s="43" t="e">
        <f>F210/#REF!</f>
        <v>#REF!</v>
      </c>
    </row>
    <row r="211" spans="1:9" ht="15.75">
      <c r="A211" s="509"/>
      <c r="B211" s="509"/>
      <c r="C211" s="27"/>
      <c r="D211" s="27" t="s">
        <v>157</v>
      </c>
      <c r="E211" s="108">
        <v>1000</v>
      </c>
      <c r="F211" s="108">
        <v>1000</v>
      </c>
      <c r="G211" s="70">
        <f t="shared" si="5"/>
        <v>1</v>
      </c>
      <c r="H211" s="43" t="e">
        <f>F211/#REF!</f>
        <v>#REF!</v>
      </c>
      <c r="I211" s="72"/>
    </row>
    <row r="212" spans="1:9" ht="15.75">
      <c r="A212" s="509"/>
      <c r="B212" s="509"/>
      <c r="C212" s="27">
        <f>'Zbiorczo-paragr'!C618</f>
        <v>4300</v>
      </c>
      <c r="D212" s="27" t="str">
        <f>'Zbiorczo-paragr'!D618</f>
        <v xml:space="preserve">Zakup usług pozostałych                                 </v>
      </c>
      <c r="E212" s="109">
        <f>SUM(E213:E213)</f>
        <v>22882</v>
      </c>
      <c r="F212" s="109">
        <f>SUM(F213:F213)</f>
        <v>20000</v>
      </c>
      <c r="G212" s="70">
        <f t="shared" si="5"/>
        <v>0.87404947120006993</v>
      </c>
      <c r="H212" s="43" t="e">
        <f>F212/#REF!</f>
        <v>#REF!</v>
      </c>
      <c r="I212" s="72"/>
    </row>
    <row r="213" spans="1:9" ht="18" customHeight="1">
      <c r="A213" s="509"/>
      <c r="B213" s="509"/>
      <c r="C213" s="27"/>
      <c r="D213" s="27" t="s">
        <v>158</v>
      </c>
      <c r="E213" s="108">
        <v>22882</v>
      </c>
      <c r="F213" s="108">
        <v>20000</v>
      </c>
      <c r="G213" s="70">
        <f t="shared" si="5"/>
        <v>0.87404947120006993</v>
      </c>
      <c r="H213" s="43" t="e">
        <f>F213/#REF!</f>
        <v>#REF!</v>
      </c>
    </row>
    <row r="214" spans="1:9" ht="16.5" hidden="1" customHeight="1">
      <c r="A214" s="509"/>
      <c r="B214" s="509"/>
      <c r="C214" s="27">
        <f>'Zbiorczo-paragr'!C622</f>
        <v>4420</v>
      </c>
      <c r="D214" s="27" t="str">
        <f>'Zbiorczo-paragr'!D622</f>
        <v xml:space="preserve">Podróże służbowe zagraniczne                                </v>
      </c>
      <c r="E214" s="109">
        <f>SUM(E215)</f>
        <v>0</v>
      </c>
      <c r="F214" s="109">
        <f>SUM(F215)</f>
        <v>0</v>
      </c>
      <c r="G214" s="70" t="e">
        <f t="shared" si="5"/>
        <v>#DIV/0!</v>
      </c>
      <c r="H214" s="43" t="e">
        <f>F214/#REF!</f>
        <v>#REF!</v>
      </c>
    </row>
    <row r="215" spans="1:9" ht="20.25" hidden="1" customHeight="1">
      <c r="A215" s="509"/>
      <c r="B215" s="509"/>
      <c r="C215" s="27"/>
      <c r="D215" s="27" t="s">
        <v>154</v>
      </c>
      <c r="E215" s="108">
        <v>0</v>
      </c>
      <c r="F215" s="108">
        <v>0</v>
      </c>
      <c r="G215" s="70" t="e">
        <f t="shared" si="5"/>
        <v>#DIV/0!</v>
      </c>
      <c r="H215" s="43" t="e">
        <f>F215/#REF!</f>
        <v>#REF!</v>
      </c>
    </row>
    <row r="216" spans="1:9" ht="27.75" customHeight="1">
      <c r="A216" s="490" t="str">
        <f>'Zbiorczo-paragr'!A626:D626</f>
        <v>85412 Kolonie i obozy oraz inne formy wypoczynku dzieci i młodzieży szkolnej, a także szkolenia młodzieży: Razem</v>
      </c>
      <c r="B216" s="523"/>
      <c r="C216" s="523"/>
      <c r="D216" s="524"/>
      <c r="E216" s="112">
        <f>SUM(E204+E206+E208+E210+E212+E214)</f>
        <v>29500</v>
      </c>
      <c r="F216" s="112">
        <f>SUM(F204+F206+F208+F210+F212+F214)</f>
        <v>26115</v>
      </c>
      <c r="G216" s="71">
        <f t="shared" si="5"/>
        <v>0.88525423728813557</v>
      </c>
      <c r="H216" s="43" t="e">
        <f>F216/#REF!</f>
        <v>#REF!</v>
      </c>
    </row>
    <row r="217" spans="1:9" ht="19.5" hidden="1" customHeight="1">
      <c r="A217" s="498">
        <v>854</v>
      </c>
      <c r="B217" s="498">
        <v>85415</v>
      </c>
      <c r="C217" s="495">
        <v>3260</v>
      </c>
      <c r="D217" s="29" t="s">
        <v>432</v>
      </c>
      <c r="E217" s="109">
        <f>E218</f>
        <v>0</v>
      </c>
      <c r="F217" s="109">
        <f>F218</f>
        <v>0</v>
      </c>
      <c r="G217" s="70" t="e">
        <f t="shared" si="5"/>
        <v>#DIV/0!</v>
      </c>
      <c r="H217" s="43"/>
    </row>
    <row r="218" spans="1:9" ht="18" hidden="1" customHeight="1">
      <c r="A218" s="498"/>
      <c r="B218" s="498"/>
      <c r="C218" s="528"/>
      <c r="D218" s="57" t="s">
        <v>252</v>
      </c>
      <c r="E218" s="109">
        <v>0</v>
      </c>
      <c r="F218" s="109">
        <v>0</v>
      </c>
      <c r="G218" s="70" t="e">
        <f t="shared" si="5"/>
        <v>#DIV/0!</v>
      </c>
      <c r="H218" s="43"/>
    </row>
    <row r="219" spans="1:9" ht="24" hidden="1" customHeight="1">
      <c r="A219" s="490" t="str">
        <f>'Zbiorczo-paragr'!A636:D636</f>
        <v>85415 Pomoc materialna dla uczniów o charakterze socjalnym : Razem</v>
      </c>
      <c r="B219" s="491"/>
      <c r="C219" s="491"/>
      <c r="D219" s="492"/>
      <c r="E219" s="112">
        <f>E217</f>
        <v>0</v>
      </c>
      <c r="F219" s="112">
        <f>F217</f>
        <v>0</v>
      </c>
      <c r="G219" s="71" t="e">
        <f t="shared" si="5"/>
        <v>#DIV/0!</v>
      </c>
      <c r="H219" s="43"/>
    </row>
    <row r="220" spans="1:9" ht="20.25" customHeight="1">
      <c r="A220" s="498">
        <v>854</v>
      </c>
      <c r="B220" s="498">
        <v>85416</v>
      </c>
      <c r="C220" s="498">
        <v>3040</v>
      </c>
      <c r="D220" s="146" t="str">
        <f>'Zbiorczo-paragr'!D637</f>
        <v>Nagrody o charakterze szczególnym niezaliczone do wynagrodzeń</v>
      </c>
      <c r="E220" s="109">
        <f>E221+E222</f>
        <v>1600</v>
      </c>
      <c r="F220" s="109">
        <f>F221+F222</f>
        <v>3200</v>
      </c>
      <c r="G220" s="70">
        <f t="shared" si="5"/>
        <v>2</v>
      </c>
      <c r="H220" s="43"/>
    </row>
    <row r="221" spans="1:9" ht="19.5" customHeight="1">
      <c r="A221" s="498"/>
      <c r="B221" s="498"/>
      <c r="C221" s="498"/>
      <c r="D221" s="146" t="str">
        <f>'ZS Mich'!D166</f>
        <v>nagrody wójta za osiągnięcia naukowe i sportowe- szkoła podstawowa</v>
      </c>
      <c r="E221" s="109">
        <v>0</v>
      </c>
      <c r="F221" s="109">
        <v>1600</v>
      </c>
      <c r="G221" s="70" t="e">
        <f t="shared" si="5"/>
        <v>#DIV/0!</v>
      </c>
      <c r="H221" s="43"/>
    </row>
    <row r="222" spans="1:9" ht="19.5" customHeight="1">
      <c r="A222" s="498"/>
      <c r="B222" s="498"/>
      <c r="C222" s="498"/>
      <c r="D222" s="146" t="str">
        <f>'ZS Mich'!D167</f>
        <v>nagrody wójta za osiągnięcia naukowe i sportowe- gimnazjum</v>
      </c>
      <c r="E222" s="109">
        <v>1600</v>
      </c>
      <c r="F222" s="109">
        <v>1600</v>
      </c>
      <c r="G222" s="70">
        <f t="shared" si="5"/>
        <v>1</v>
      </c>
      <c r="H222" s="43"/>
    </row>
    <row r="223" spans="1:9" ht="17.25" customHeight="1">
      <c r="A223" s="498"/>
      <c r="B223" s="498"/>
      <c r="C223" s="27">
        <v>3240</v>
      </c>
      <c r="D223" s="63" t="str">
        <f>'Zbiorczo-paragr'!D640</f>
        <v>Stypendia dla uczniów</v>
      </c>
      <c r="E223" s="109">
        <f>SUM(E224:E226)</f>
        <v>23100</v>
      </c>
      <c r="F223" s="53">
        <f>SUM(F224:F226)</f>
        <v>21900</v>
      </c>
      <c r="G223" s="70">
        <f t="shared" si="5"/>
        <v>0.94805194805194803</v>
      </c>
      <c r="H223" s="43" t="e">
        <f>F223/#REF!</f>
        <v>#REF!</v>
      </c>
    </row>
    <row r="224" spans="1:9" ht="17.25" customHeight="1">
      <c r="A224" s="498"/>
      <c r="B224" s="498"/>
      <c r="C224" s="27"/>
      <c r="D224" s="145" t="s">
        <v>365</v>
      </c>
      <c r="E224" s="109">
        <v>14700</v>
      </c>
      <c r="F224" s="53">
        <v>16000</v>
      </c>
      <c r="G224" s="70">
        <f t="shared" si="5"/>
        <v>1.08843537414966</v>
      </c>
      <c r="H224" s="43" t="e">
        <f>F224/#REF!</f>
        <v>#REF!</v>
      </c>
    </row>
    <row r="225" spans="1:9" ht="17.25" customHeight="1">
      <c r="A225" s="498"/>
      <c r="B225" s="498"/>
      <c r="C225" s="27"/>
      <c r="D225" s="145" t="s">
        <v>259</v>
      </c>
      <c r="E225" s="109">
        <v>5400</v>
      </c>
      <c r="F225" s="53">
        <v>2700</v>
      </c>
      <c r="G225" s="70">
        <f t="shared" si="5"/>
        <v>0.5</v>
      </c>
      <c r="H225" s="43" t="e">
        <f>F225/#REF!</f>
        <v>#REF!</v>
      </c>
    </row>
    <row r="226" spans="1:9" ht="17.25" customHeight="1">
      <c r="A226" s="498"/>
      <c r="B226" s="498"/>
      <c r="C226" s="27"/>
      <c r="D226" s="145" t="s">
        <v>366</v>
      </c>
      <c r="E226" s="109">
        <v>3000</v>
      </c>
      <c r="F226" s="53">
        <v>3200</v>
      </c>
      <c r="G226" s="70">
        <f t="shared" si="5"/>
        <v>1.0666666666666667</v>
      </c>
      <c r="H226" s="43" t="e">
        <f>F226/#REF!</f>
        <v>#REF!</v>
      </c>
    </row>
    <row r="227" spans="1:9" ht="15.75" customHeight="1">
      <c r="A227" s="490" t="str">
        <f>'Zbiorczo-paragr'!A644:D644</f>
        <v>85416 Pomoc materialna dla uczniów o charakterze motywacyjnym : Razem</v>
      </c>
      <c r="B227" s="576"/>
      <c r="C227" s="576"/>
      <c r="D227" s="577"/>
      <c r="E227" s="112">
        <f>E220+E223</f>
        <v>24700</v>
      </c>
      <c r="F227" s="112">
        <f>F220+F223</f>
        <v>25100</v>
      </c>
      <c r="G227" s="70">
        <f t="shared" si="5"/>
        <v>1.0161943319838056</v>
      </c>
      <c r="H227" s="43" t="e">
        <f>F227/#REF!</f>
        <v>#REF!</v>
      </c>
    </row>
    <row r="228" spans="1:9" ht="15" customHeight="1">
      <c r="A228" s="519" t="str">
        <f>'Zbiorczo-paragr'!A645:D645</f>
        <v xml:space="preserve">854 Edukacyjna opieka wychowawcza - Razem                          </v>
      </c>
      <c r="B228" s="520"/>
      <c r="C228" s="520"/>
      <c r="D228" s="520"/>
      <c r="E228" s="110">
        <f>E203+E216+E227+E219</f>
        <v>866984</v>
      </c>
      <c r="F228" s="110">
        <f>F203+F216+F227+F219</f>
        <v>895658</v>
      </c>
      <c r="G228" s="71">
        <f t="shared" si="5"/>
        <v>1.0330732747086451</v>
      </c>
      <c r="H228" s="43" t="e">
        <f>F228/#REF!</f>
        <v>#REF!</v>
      </c>
    </row>
    <row r="229" spans="1:9" ht="17.25" customHeight="1">
      <c r="A229" s="586" t="str">
        <f>'Zbiorczo-paragr'!A661:D661</f>
        <v>WYDATKI OGÓŁEM</v>
      </c>
      <c r="B229" s="587"/>
      <c r="C229" s="587"/>
      <c r="D229" s="588"/>
      <c r="E229" s="111">
        <f>E228+E188</f>
        <v>10649811.43</v>
      </c>
      <c r="F229" s="111">
        <f>F228+F188</f>
        <v>11366583</v>
      </c>
      <c r="G229" s="73">
        <f t="shared" si="5"/>
        <v>1.0673036865217058</v>
      </c>
      <c r="H229" s="43" t="e">
        <f>F229/#REF!</f>
        <v>#REF!</v>
      </c>
      <c r="I229" s="72"/>
    </row>
    <row r="230" spans="1:9" ht="63" hidden="1" customHeight="1">
      <c r="A230" s="589" t="s">
        <v>33</v>
      </c>
      <c r="B230" s="589"/>
      <c r="C230" s="589"/>
      <c r="D230" s="589"/>
      <c r="E230" s="589"/>
      <c r="F230" s="589"/>
      <c r="G230" s="590"/>
      <c r="H230" s="43" t="e">
        <f>F230/#REF!</f>
        <v>#REF!</v>
      </c>
    </row>
    <row r="231" spans="1:9" ht="150.75" hidden="1" customHeight="1">
      <c r="A231" s="529" t="s">
        <v>138</v>
      </c>
      <c r="B231" s="529"/>
      <c r="C231" s="529"/>
      <c r="D231" s="529"/>
      <c r="E231" s="529"/>
      <c r="F231" s="529"/>
      <c r="G231" s="581"/>
      <c r="H231" s="43" t="e">
        <f>F231/#REF!</f>
        <v>#REF!</v>
      </c>
    </row>
    <row r="232" spans="1:9" ht="28.5" hidden="1" customHeight="1">
      <c r="A232" s="529" t="s">
        <v>330</v>
      </c>
      <c r="B232" s="529"/>
      <c r="C232" s="529"/>
      <c r="D232" s="529"/>
      <c r="E232" s="529"/>
      <c r="F232" s="529"/>
      <c r="G232" s="581"/>
      <c r="H232" s="43" t="e">
        <f>F232/#REF!</f>
        <v>#REF!</v>
      </c>
    </row>
    <row r="233" spans="1:9" ht="33.75" hidden="1" customHeight="1">
      <c r="A233" s="488" t="s">
        <v>122</v>
      </c>
      <c r="B233" s="488"/>
      <c r="C233" s="488"/>
      <c r="D233" s="488"/>
      <c r="E233" s="488"/>
      <c r="F233" s="488"/>
      <c r="G233" s="578"/>
      <c r="H233" s="43" t="e">
        <f>F233/#REF!</f>
        <v>#REF!</v>
      </c>
    </row>
    <row r="234" spans="1:9" ht="53.25" hidden="1" customHeight="1">
      <c r="A234" s="530" t="s">
        <v>358</v>
      </c>
      <c r="B234" s="530"/>
      <c r="C234" s="530"/>
      <c r="D234" s="530"/>
      <c r="E234" s="530"/>
      <c r="F234" s="530"/>
      <c r="G234" s="578"/>
      <c r="H234" s="43" t="e">
        <f>F234/#REF!</f>
        <v>#REF!</v>
      </c>
    </row>
    <row r="235" spans="1:9" ht="62.25" hidden="1" customHeight="1">
      <c r="A235" s="530" t="s">
        <v>105</v>
      </c>
      <c r="B235" s="530"/>
      <c r="C235" s="530"/>
      <c r="D235" s="530"/>
      <c r="E235" s="530"/>
      <c r="F235" s="530"/>
      <c r="G235" s="578"/>
      <c r="H235" s="43" t="e">
        <f>F235/#REF!</f>
        <v>#REF!</v>
      </c>
    </row>
    <row r="236" spans="1:9" ht="33" hidden="1" customHeight="1">
      <c r="A236" s="530" t="s">
        <v>42</v>
      </c>
      <c r="B236" s="530"/>
      <c r="C236" s="530"/>
      <c r="D236" s="530"/>
      <c r="E236" s="530"/>
      <c r="F236" s="530"/>
      <c r="G236" s="578"/>
      <c r="H236" s="43" t="e">
        <f>F236/#REF!</f>
        <v>#REF!</v>
      </c>
    </row>
    <row r="237" spans="1:9" ht="29.25" hidden="1" customHeight="1">
      <c r="A237" s="530" t="s">
        <v>260</v>
      </c>
      <c r="B237" s="530"/>
      <c r="C237" s="530"/>
      <c r="D237" s="530"/>
      <c r="E237" s="530"/>
      <c r="F237" s="530"/>
      <c r="G237" s="578"/>
      <c r="H237" s="43" t="e">
        <f>F237/#REF!</f>
        <v>#REF!</v>
      </c>
    </row>
    <row r="238" spans="1:9" ht="32.25" hidden="1" customHeight="1">
      <c r="A238" s="483" t="s">
        <v>135</v>
      </c>
      <c r="B238" s="483"/>
      <c r="C238" s="483"/>
      <c r="D238" s="483"/>
      <c r="E238" s="483"/>
      <c r="F238" s="483"/>
      <c r="G238" s="581"/>
      <c r="H238" s="43" t="e">
        <f>F238/#REF!</f>
        <v>#REF!</v>
      </c>
    </row>
    <row r="239" spans="1:9" ht="32.25" hidden="1" customHeight="1">
      <c r="A239" s="529" t="s">
        <v>89</v>
      </c>
      <c r="B239" s="529"/>
      <c r="C239" s="529"/>
      <c r="D239" s="529"/>
      <c r="E239" s="529"/>
      <c r="F239" s="529"/>
      <c r="G239" s="581"/>
      <c r="H239" s="43" t="e">
        <f>F239/#REF!</f>
        <v>#REF!</v>
      </c>
    </row>
    <row r="240" spans="1:9" ht="15.75" hidden="1">
      <c r="H240" s="43" t="e">
        <f>F240/#REF!</f>
        <v>#REF!</v>
      </c>
    </row>
    <row r="241" spans="1:8" ht="15.75" hidden="1">
      <c r="A241" s="483" t="s">
        <v>130</v>
      </c>
      <c r="B241" s="483"/>
      <c r="C241" s="483"/>
      <c r="D241" s="483"/>
      <c r="H241" s="43" t="e">
        <f>F241/#REF!</f>
        <v>#REF!</v>
      </c>
    </row>
    <row r="242" spans="1:8" hidden="1">
      <c r="E242" s="72"/>
      <c r="F242" s="72"/>
    </row>
    <row r="243" spans="1:8" ht="15" hidden="1" customHeight="1">
      <c r="A243" s="483"/>
      <c r="B243" s="483"/>
      <c r="C243" s="483"/>
      <c r="D243" s="483"/>
      <c r="E243" s="483"/>
      <c r="F243" s="483"/>
      <c r="G243" s="483"/>
    </row>
    <row r="244" spans="1:8" ht="15" hidden="1" customHeight="1">
      <c r="A244" s="483"/>
      <c r="B244" s="483"/>
      <c r="C244" s="483"/>
      <c r="D244" s="483"/>
      <c r="E244" s="483"/>
      <c r="F244" s="483"/>
      <c r="G244" s="483"/>
    </row>
    <row r="245" spans="1:8" ht="15" hidden="1" customHeight="1">
      <c r="A245" s="483"/>
      <c r="B245" s="483"/>
      <c r="C245" s="483"/>
      <c r="D245" s="483"/>
      <c r="E245" s="483"/>
      <c r="F245" s="483"/>
      <c r="G245" s="483"/>
    </row>
    <row r="246" spans="1:8" ht="15" hidden="1" customHeight="1">
      <c r="A246" s="483"/>
      <c r="B246" s="483"/>
      <c r="C246" s="483"/>
      <c r="D246" s="483"/>
      <c r="E246" s="483"/>
      <c r="F246" s="483"/>
      <c r="G246" s="483"/>
    </row>
    <row r="247" spans="1:8" hidden="1">
      <c r="A247" s="483"/>
      <c r="B247" s="483"/>
      <c r="C247" s="483"/>
      <c r="D247" s="86"/>
    </row>
    <row r="248" spans="1:8" ht="24" hidden="1" customHeight="1">
      <c r="A248" s="585" t="s">
        <v>387</v>
      </c>
      <c r="B248" s="585"/>
      <c r="C248" s="585"/>
      <c r="D248" s="585"/>
      <c r="E248" s="585"/>
      <c r="F248" s="62"/>
      <c r="G248" s="62"/>
    </row>
    <row r="249" spans="1:8" ht="24.75" hidden="1" customHeight="1">
      <c r="A249" s="556" t="s">
        <v>459</v>
      </c>
      <c r="B249" s="556"/>
      <c r="C249" s="556"/>
      <c r="D249" s="556"/>
      <c r="E249" s="556"/>
    </row>
    <row r="250" spans="1:8" hidden="1">
      <c r="A250" s="556" t="s">
        <v>449</v>
      </c>
      <c r="B250" s="556"/>
      <c r="C250" s="556"/>
      <c r="D250" s="556"/>
    </row>
    <row r="251" spans="1:8" hidden="1"/>
    <row r="252" spans="1:8">
      <c r="E252" s="78"/>
      <c r="F252" s="78">
        <f>F229-E229</f>
        <v>716771.5700000003</v>
      </c>
    </row>
    <row r="253" spans="1:8">
      <c r="E253" s="78"/>
    </row>
    <row r="254" spans="1:8">
      <c r="D254" s="52" t="s">
        <v>654</v>
      </c>
      <c r="E254" s="78">
        <v>660000</v>
      </c>
    </row>
    <row r="255" spans="1:8">
      <c r="E255" s="78"/>
    </row>
    <row r="256" spans="1:8">
      <c r="E256" s="78"/>
    </row>
    <row r="257" spans="6:6">
      <c r="F257" s="78"/>
    </row>
  </sheetData>
  <mergeCells count="51">
    <mergeCell ref="A232:G232"/>
    <mergeCell ref="A231:G231"/>
    <mergeCell ref="A187:D187"/>
    <mergeCell ref="A183:A186"/>
    <mergeCell ref="B183:B186"/>
    <mergeCell ref="C183:C186"/>
    <mergeCell ref="A188:D188"/>
    <mergeCell ref="A203:D203"/>
    <mergeCell ref="A217:A218"/>
    <mergeCell ref="B217:B218"/>
    <mergeCell ref="A250:D250"/>
    <mergeCell ref="A248:E248"/>
    <mergeCell ref="A249:E249"/>
    <mergeCell ref="A216:D216"/>
    <mergeCell ref="A229:D229"/>
    <mergeCell ref="A243:G243"/>
    <mergeCell ref="A241:D241"/>
    <mergeCell ref="A228:D228"/>
    <mergeCell ref="A239:G239"/>
    <mergeCell ref="A230:G230"/>
    <mergeCell ref="A90:D90"/>
    <mergeCell ref="A1:F1"/>
    <mergeCell ref="A59:D59"/>
    <mergeCell ref="A41:D41"/>
    <mergeCell ref="A123:D123"/>
    <mergeCell ref="A136:D136"/>
    <mergeCell ref="C217:C218"/>
    <mergeCell ref="A219:D219"/>
    <mergeCell ref="A220:A226"/>
    <mergeCell ref="A166:A181"/>
    <mergeCell ref="A204:A215"/>
    <mergeCell ref="B204:B215"/>
    <mergeCell ref="A182:D182"/>
    <mergeCell ref="A247:C247"/>
    <mergeCell ref="A235:G235"/>
    <mergeCell ref="A238:G238"/>
    <mergeCell ref="A246:G246"/>
    <mergeCell ref="A244:G244"/>
    <mergeCell ref="A245:G245"/>
    <mergeCell ref="A237:G237"/>
    <mergeCell ref="A236:G236"/>
    <mergeCell ref="A227:D227"/>
    <mergeCell ref="A233:G233"/>
    <mergeCell ref="A234:G234"/>
    <mergeCell ref="B166:B181"/>
    <mergeCell ref="A145:D145"/>
    <mergeCell ref="B220:B226"/>
    <mergeCell ref="C220:C222"/>
    <mergeCell ref="A146:A164"/>
    <mergeCell ref="B146:B164"/>
    <mergeCell ref="A165:D165"/>
  </mergeCells>
  <phoneticPr fontId="4" type="noConversion"/>
  <printOptions horizontalCentered="1"/>
  <pageMargins left="0" right="0" top="0.59055118110236227" bottom="0.59055118110236227" header="0.51181102362204722" footer="0.51181102362204722"/>
  <pageSetup paperSize="9" scale="74" orientation="portrait" useFirstPageNumber="1" r:id="rId1"/>
  <headerFooter alignWithMargins="0">
    <oddFooter>Strona &amp;P</oddFooter>
  </headerFooter>
  <rowBreaks count="4" manualBreakCount="4">
    <brk id="41" max="7" man="1"/>
    <brk id="90" max="7" man="1"/>
    <brk id="145" max="7" man="1"/>
    <brk id="203" max="7" man="1"/>
  </rowBreaks>
  <colBreaks count="1" manualBreakCount="1">
    <brk id="7" max="1048575" man="1"/>
  </colBreaks>
</worksheet>
</file>

<file path=xl/worksheets/sheet6.xml><?xml version="1.0" encoding="utf-8"?>
<worksheet xmlns="http://schemas.openxmlformats.org/spreadsheetml/2006/main" xmlns:r="http://schemas.openxmlformats.org/officeDocument/2006/relationships">
  <dimension ref="A1:P195"/>
  <sheetViews>
    <sheetView topLeftCell="A168" zoomScaleNormal="100" zoomScaleSheetLayoutView="100" workbookViewId="0">
      <selection activeCell="F190" sqref="F190"/>
    </sheetView>
  </sheetViews>
  <sheetFormatPr defaultRowHeight="15"/>
  <cols>
    <col min="1" max="1" width="4.28515625" style="414" customWidth="1"/>
    <col min="2" max="2" width="6.42578125" style="414" customWidth="1"/>
    <col min="3" max="3" width="6.140625" style="414" customWidth="1"/>
    <col min="4" max="4" width="69.140625" style="414" customWidth="1"/>
    <col min="5" max="5" width="13.42578125" style="441" customWidth="1"/>
    <col min="6" max="6" width="14.42578125" style="441" customWidth="1"/>
    <col min="7" max="7" width="8.28515625" style="414" customWidth="1"/>
    <col min="8" max="8" width="14" style="414" hidden="1" customWidth="1"/>
    <col min="9" max="9" width="11.5703125" style="414" bestFit="1" customWidth="1"/>
    <col min="10" max="14" width="9.140625" style="414"/>
    <col min="15" max="15" width="11.42578125" style="414" bestFit="1" customWidth="1"/>
    <col min="16" max="16384" width="9.140625" style="414"/>
  </cols>
  <sheetData>
    <row r="1" spans="1:16" s="394" customFormat="1" ht="14.25" customHeight="1">
      <c r="A1" s="526" t="s">
        <v>686</v>
      </c>
      <c r="B1" s="620"/>
      <c r="C1" s="620"/>
      <c r="D1" s="620"/>
      <c r="E1" s="620"/>
      <c r="F1" s="620"/>
      <c r="G1" s="620"/>
      <c r="H1" s="393"/>
      <c r="I1" s="393"/>
      <c r="J1" s="393"/>
      <c r="K1" s="393"/>
      <c r="L1" s="393"/>
      <c r="M1" s="393"/>
      <c r="N1" s="393"/>
      <c r="O1" s="393"/>
      <c r="P1" s="393"/>
    </row>
    <row r="2" spans="1:16" s="394" customFormat="1" ht="45.75" customHeight="1">
      <c r="A2" s="395" t="str">
        <f>'Zbiorczo-paragr'!A2</f>
        <v>Dz</v>
      </c>
      <c r="B2" s="395" t="str">
        <f>'Zbiorczo-paragr'!B2</f>
        <v>Rozdz</v>
      </c>
      <c r="C2" s="395" t="str">
        <f>'Zbiorczo-paragr'!C2</f>
        <v>§</v>
      </c>
      <c r="D2" s="395" t="str">
        <f>'Zbiorczo-paragr'!D2</f>
        <v>Zadanie</v>
      </c>
      <c r="E2" s="149" t="s">
        <v>687</v>
      </c>
      <c r="F2" s="149" t="s">
        <v>688</v>
      </c>
      <c r="G2" s="396" t="s">
        <v>331</v>
      </c>
      <c r="H2" s="397" t="s">
        <v>384</v>
      </c>
      <c r="I2" s="393"/>
      <c r="J2" s="393"/>
      <c r="K2" s="393"/>
      <c r="L2" s="393"/>
      <c r="M2" s="393"/>
      <c r="N2" s="393"/>
      <c r="O2" s="393"/>
      <c r="P2" s="393"/>
    </row>
    <row r="3" spans="1:16" s="394" customFormat="1" ht="18" customHeight="1">
      <c r="A3" s="398">
        <f>'Zbiorczo-paragr'!A3</f>
        <v>750</v>
      </c>
      <c r="B3" s="398">
        <f>'Zbiorczo-paragr'!B3</f>
        <v>75085</v>
      </c>
      <c r="C3" s="398">
        <f>'Zbiorczo-paragr'!C3</f>
        <v>3020</v>
      </c>
      <c r="D3" s="399" t="str">
        <f>'Zbiorczo-paragr'!D3</f>
        <v xml:space="preserve">Wydatki osobowe nie zaliczone do wynagrodzeń  </v>
      </c>
      <c r="E3" s="400">
        <f>SUM(E4)</f>
        <v>2660</v>
      </c>
      <c r="F3" s="400">
        <f>SUM(F4)</f>
        <v>1300</v>
      </c>
      <c r="G3" s="401">
        <f t="shared" ref="G3:G39" si="0">SUM(F3/E3)</f>
        <v>0.48872180451127817</v>
      </c>
      <c r="H3" s="397"/>
      <c r="I3" s="393"/>
      <c r="J3" s="393"/>
      <c r="K3" s="393"/>
      <c r="L3" s="393"/>
      <c r="M3" s="393"/>
      <c r="N3" s="393"/>
      <c r="O3" s="393"/>
      <c r="P3" s="393"/>
    </row>
    <row r="4" spans="1:16" s="394" customFormat="1" ht="30.75" customHeight="1">
      <c r="A4" s="398"/>
      <c r="B4" s="398"/>
      <c r="C4" s="398"/>
      <c r="D4" s="399" t="str">
        <f>'Zbiorczo-paragr'!D4</f>
        <v>świadczenia rzeczowe wynikające z przepisów BHP-zakup napojów i zwrot kosztów zakupu okularów korygujących</v>
      </c>
      <c r="E4" s="402">
        <v>2660</v>
      </c>
      <c r="F4" s="402">
        <v>1300</v>
      </c>
      <c r="G4" s="401">
        <f t="shared" si="0"/>
        <v>0.48872180451127817</v>
      </c>
      <c r="H4" s="397"/>
      <c r="I4" s="393"/>
      <c r="J4" s="393"/>
      <c r="K4" s="393"/>
      <c r="L4" s="393"/>
      <c r="M4" s="393"/>
      <c r="N4" s="393"/>
      <c r="O4" s="393"/>
      <c r="P4" s="393"/>
    </row>
    <row r="5" spans="1:16" s="394" customFormat="1" ht="18.75" customHeight="1">
      <c r="A5" s="398"/>
      <c r="B5" s="398"/>
      <c r="C5" s="398">
        <f>'Zbiorczo-paragr'!C5</f>
        <v>4010</v>
      </c>
      <c r="D5" s="399" t="str">
        <f>'Zbiorczo-paragr'!D5</f>
        <v xml:space="preserve">Wynagrodzenia osobowe pracowników                       </v>
      </c>
      <c r="E5" s="400">
        <f>SUM(E6:E7)</f>
        <v>930100</v>
      </c>
      <c r="F5" s="400">
        <f>SUM(F6:F7)</f>
        <v>960150</v>
      </c>
      <c r="G5" s="401">
        <f t="shared" si="0"/>
        <v>1.0323083539404365</v>
      </c>
      <c r="H5" s="397"/>
      <c r="I5" s="393"/>
      <c r="J5" s="393"/>
      <c r="K5" s="393"/>
      <c r="L5" s="393"/>
      <c r="M5" s="393"/>
      <c r="N5" s="393"/>
      <c r="O5" s="393"/>
      <c r="P5" s="393"/>
    </row>
    <row r="6" spans="1:16" s="394" customFormat="1" ht="18.75" customHeight="1">
      <c r="A6" s="398"/>
      <c r="B6" s="398"/>
      <c r="C6" s="398"/>
      <c r="D6" s="399" t="str">
        <f>'Zbiorczo-paragr'!D6</f>
        <v>Wynagrodzenia osobowe</v>
      </c>
      <c r="E6" s="402">
        <v>907100</v>
      </c>
      <c r="F6" s="402">
        <v>930750</v>
      </c>
      <c r="G6" s="401">
        <f t="shared" si="0"/>
        <v>1.0260720978943887</v>
      </c>
      <c r="H6" s="397"/>
      <c r="I6" s="393"/>
      <c r="J6" s="393"/>
      <c r="K6" s="393"/>
      <c r="L6" s="393"/>
      <c r="M6" s="393"/>
      <c r="N6" s="393"/>
      <c r="O6" s="393"/>
      <c r="P6" s="393"/>
    </row>
    <row r="7" spans="1:16" s="394" customFormat="1" ht="16.5" customHeight="1">
      <c r="A7" s="398"/>
      <c r="B7" s="398"/>
      <c r="C7" s="398"/>
      <c r="D7" s="399" t="str">
        <f>'Zbiorczo-paragr'!D7</f>
        <v xml:space="preserve">nagrody jubileuszowe (4) </v>
      </c>
      <c r="E7" s="402">
        <v>23000</v>
      </c>
      <c r="F7" s="402">
        <v>29400</v>
      </c>
      <c r="G7" s="401">
        <f t="shared" si="0"/>
        <v>1.2782608695652173</v>
      </c>
      <c r="H7" s="397"/>
      <c r="I7" s="393"/>
      <c r="J7" s="393"/>
      <c r="K7" s="393"/>
      <c r="L7" s="393"/>
      <c r="M7" s="393"/>
      <c r="N7" s="393"/>
      <c r="O7" s="393"/>
      <c r="P7" s="393"/>
    </row>
    <row r="8" spans="1:16" s="394" customFormat="1" ht="17.25" customHeight="1">
      <c r="A8" s="398"/>
      <c r="B8" s="398"/>
      <c r="C8" s="398">
        <f>'Zbiorczo-paragr'!C8</f>
        <v>4040</v>
      </c>
      <c r="D8" s="399" t="str">
        <f>'Zbiorczo-paragr'!D8</f>
        <v xml:space="preserve">Dodatkowe wynagrodzenie roczne                          </v>
      </c>
      <c r="E8" s="400">
        <f>SUM(E9)</f>
        <v>73000</v>
      </c>
      <c r="F8" s="400">
        <f>SUM(F9)</f>
        <v>73000</v>
      </c>
      <c r="G8" s="401">
        <f t="shared" si="0"/>
        <v>1</v>
      </c>
      <c r="H8" s="397"/>
      <c r="I8" s="393"/>
      <c r="J8" s="393"/>
      <c r="K8" s="393"/>
      <c r="L8" s="393"/>
      <c r="M8" s="393"/>
      <c r="N8" s="393"/>
      <c r="O8" s="393"/>
      <c r="P8" s="393"/>
    </row>
    <row r="9" spans="1:16" s="394" customFormat="1" ht="28.5" customHeight="1">
      <c r="A9" s="398"/>
      <c r="B9" s="398"/>
      <c r="C9" s="398"/>
      <c r="D9" s="399" t="str">
        <f>'Zbiorczo-paragr'!D9</f>
        <v>wydatki ponoszone zgodnie z ustawą o dodatkowym wynagrodzeniu rocznym dla pracowników jednostek sfery budżetowej</v>
      </c>
      <c r="E9" s="402">
        <v>73000</v>
      </c>
      <c r="F9" s="402">
        <v>73000</v>
      </c>
      <c r="G9" s="401">
        <f t="shared" si="0"/>
        <v>1</v>
      </c>
      <c r="H9" s="397"/>
      <c r="I9" s="393"/>
      <c r="J9" s="393"/>
      <c r="K9" s="393"/>
      <c r="L9" s="393"/>
      <c r="M9" s="393"/>
      <c r="N9" s="393"/>
      <c r="O9" s="393"/>
      <c r="P9" s="393"/>
    </row>
    <row r="10" spans="1:16" s="394" customFormat="1" ht="16.5" customHeight="1">
      <c r="A10" s="398"/>
      <c r="B10" s="398"/>
      <c r="C10" s="398">
        <f>'Zbiorczo-paragr'!C10</f>
        <v>4110</v>
      </c>
      <c r="D10" s="399" t="str">
        <f>'Zbiorczo-paragr'!D10</f>
        <v xml:space="preserve">Składki na ubezpieczenia społeczne                      </v>
      </c>
      <c r="E10" s="400">
        <v>175040</v>
      </c>
      <c r="F10" s="400">
        <v>175000</v>
      </c>
      <c r="G10" s="401">
        <f t="shared" si="0"/>
        <v>0.9997714808043876</v>
      </c>
      <c r="H10" s="397"/>
      <c r="I10" s="393"/>
      <c r="J10" s="393"/>
      <c r="K10" s="393"/>
      <c r="L10" s="393"/>
      <c r="M10" s="393"/>
      <c r="N10" s="393"/>
      <c r="O10" s="393"/>
      <c r="P10" s="393"/>
    </row>
    <row r="11" spans="1:16" s="394" customFormat="1" ht="18.75" customHeight="1">
      <c r="A11" s="398"/>
      <c r="B11" s="398"/>
      <c r="C11" s="398">
        <f>'Zbiorczo-paragr'!C11</f>
        <v>4120</v>
      </c>
      <c r="D11" s="399" t="str">
        <f>'Zbiorczo-paragr'!D11</f>
        <v xml:space="preserve">Składki na Fundusz Pracy                                </v>
      </c>
      <c r="E11" s="400">
        <v>14800</v>
      </c>
      <c r="F11" s="400">
        <v>13000</v>
      </c>
      <c r="G11" s="401">
        <f t="shared" si="0"/>
        <v>0.8783783783783784</v>
      </c>
      <c r="H11" s="397"/>
      <c r="I11" s="393"/>
      <c r="J11" s="393"/>
      <c r="K11" s="393"/>
      <c r="L11" s="393"/>
      <c r="M11" s="393"/>
      <c r="N11" s="393"/>
      <c r="O11" s="393"/>
      <c r="P11" s="393"/>
    </row>
    <row r="12" spans="1:16" s="394" customFormat="1" ht="16.5" customHeight="1">
      <c r="A12" s="398"/>
      <c r="B12" s="398"/>
      <c r="C12" s="398">
        <f>'Zbiorczo-paragr'!C12</f>
        <v>4170</v>
      </c>
      <c r="D12" s="399" t="str">
        <f>'Zbiorczo-paragr'!D12</f>
        <v>Wynagrodzenie bezosobowe</v>
      </c>
      <c r="E12" s="400">
        <f>SUM(E13)</f>
        <v>2310</v>
      </c>
      <c r="F12" s="400">
        <f>SUM(F13)</f>
        <v>0</v>
      </c>
      <c r="G12" s="401">
        <f t="shared" si="0"/>
        <v>0</v>
      </c>
      <c r="H12" s="397"/>
      <c r="I12" s="393"/>
      <c r="J12" s="393"/>
      <c r="K12" s="393"/>
      <c r="L12" s="393"/>
      <c r="M12" s="393"/>
      <c r="N12" s="393"/>
      <c r="O12" s="393"/>
      <c r="P12" s="393"/>
    </row>
    <row r="13" spans="1:16" s="394" customFormat="1" ht="23.25" customHeight="1">
      <c r="A13" s="398"/>
      <c r="B13" s="398"/>
      <c r="C13" s="398"/>
      <c r="D13" s="399" t="str">
        <f>'Zbiorczo-paragr'!D13</f>
        <v>umowy zlecenia</v>
      </c>
      <c r="E13" s="400">
        <v>2310</v>
      </c>
      <c r="F13" s="400">
        <v>0</v>
      </c>
      <c r="G13" s="401">
        <f t="shared" si="0"/>
        <v>0</v>
      </c>
      <c r="H13" s="397"/>
      <c r="I13" s="393"/>
      <c r="J13" s="393"/>
      <c r="K13" s="393"/>
      <c r="L13" s="393"/>
      <c r="M13" s="393"/>
      <c r="N13" s="393"/>
      <c r="O13" s="393"/>
      <c r="P13" s="393"/>
    </row>
    <row r="14" spans="1:16" s="394" customFormat="1" ht="18.75" customHeight="1">
      <c r="A14" s="398"/>
      <c r="B14" s="398"/>
      <c r="C14" s="398">
        <f>'Zbiorczo-paragr'!C14</f>
        <v>4210</v>
      </c>
      <c r="D14" s="399" t="str">
        <f>'Zbiorczo-paragr'!D14</f>
        <v xml:space="preserve">Zakup materiałów i wyposażenia                     </v>
      </c>
      <c r="E14" s="400">
        <f>SUM(E15)</f>
        <v>26000</v>
      </c>
      <c r="F14" s="400">
        <f>SUM(F15)</f>
        <v>25000</v>
      </c>
      <c r="G14" s="401">
        <f t="shared" si="0"/>
        <v>0.96153846153846156</v>
      </c>
      <c r="H14" s="397"/>
      <c r="I14" s="393"/>
      <c r="J14" s="393"/>
      <c r="K14" s="393"/>
      <c r="L14" s="393"/>
      <c r="M14" s="393"/>
      <c r="N14" s="393"/>
      <c r="O14" s="393"/>
      <c r="P14" s="393"/>
    </row>
    <row r="15" spans="1:16" s="394" customFormat="1" ht="33" customHeight="1">
      <c r="A15" s="398"/>
      <c r="B15" s="398"/>
      <c r="C15" s="398"/>
      <c r="D15" s="399" t="str">
        <f>'Zbiorczo-paragr'!D15</f>
        <v xml:space="preserve">zakup materiałów biurowych,  komputerów, tonerów, akcesorii i programów komputerowych, publikacji, paliwa i inne                    </v>
      </c>
      <c r="E15" s="400">
        <v>26000</v>
      </c>
      <c r="F15" s="400">
        <v>25000</v>
      </c>
      <c r="G15" s="401">
        <f t="shared" si="0"/>
        <v>0.96153846153846156</v>
      </c>
      <c r="H15" s="397"/>
      <c r="I15" s="393"/>
      <c r="J15" s="393"/>
      <c r="K15" s="393"/>
      <c r="L15" s="393"/>
      <c r="M15" s="393"/>
      <c r="N15" s="393"/>
      <c r="O15" s="393"/>
      <c r="P15" s="393"/>
    </row>
    <row r="16" spans="1:16" s="394" customFormat="1" ht="17.25" customHeight="1">
      <c r="A16" s="398"/>
      <c r="B16" s="398"/>
      <c r="C16" s="398">
        <f>'Zbiorczo-paragr'!C16</f>
        <v>4220</v>
      </c>
      <c r="D16" s="403" t="str">
        <f>'Zbiorczo-paragr'!D16</f>
        <v xml:space="preserve">Zakup środków żywności    </v>
      </c>
      <c r="E16" s="400">
        <f>E17</f>
        <v>200</v>
      </c>
      <c r="F16" s="400">
        <f>F17</f>
        <v>300</v>
      </c>
      <c r="G16" s="401">
        <f t="shared" si="0"/>
        <v>1.5</v>
      </c>
      <c r="H16" s="397"/>
      <c r="I16" s="393"/>
      <c r="J16" s="393"/>
      <c r="K16" s="393"/>
      <c r="L16" s="393"/>
      <c r="M16" s="393"/>
      <c r="N16" s="393"/>
      <c r="O16" s="393"/>
      <c r="P16" s="393"/>
    </row>
    <row r="17" spans="1:16" s="394" customFormat="1" ht="16.5" customHeight="1">
      <c r="A17" s="398"/>
      <c r="B17" s="398"/>
      <c r="C17" s="398"/>
      <c r="D17" s="403" t="str">
        <f>'Zbiorczo-paragr'!D17</f>
        <v xml:space="preserve">zakup środków żywności    </v>
      </c>
      <c r="E17" s="400">
        <v>200</v>
      </c>
      <c r="F17" s="400">
        <v>300</v>
      </c>
      <c r="G17" s="401">
        <f t="shared" si="0"/>
        <v>1.5</v>
      </c>
      <c r="H17" s="397"/>
      <c r="I17" s="393"/>
      <c r="J17" s="393"/>
      <c r="K17" s="393"/>
      <c r="L17" s="393"/>
      <c r="M17" s="393"/>
      <c r="N17" s="393"/>
      <c r="O17" s="393"/>
      <c r="P17" s="393"/>
    </row>
    <row r="18" spans="1:16" s="394" customFormat="1" ht="21" customHeight="1">
      <c r="A18" s="398"/>
      <c r="B18" s="398"/>
      <c r="C18" s="398">
        <f>'Zbiorczo-paragr'!C18</f>
        <v>4270</v>
      </c>
      <c r="D18" s="399" t="str">
        <f>'Zbiorczo-paragr'!D18</f>
        <v xml:space="preserve">Zakup usług remontowych                                 </v>
      </c>
      <c r="E18" s="400">
        <f>SUM(E19)</f>
        <v>6500</v>
      </c>
      <c r="F18" s="400">
        <f>SUM(F19)</f>
        <v>6500</v>
      </c>
      <c r="G18" s="401">
        <f t="shared" si="0"/>
        <v>1</v>
      </c>
      <c r="H18" s="397"/>
      <c r="I18" s="393"/>
      <c r="J18" s="393"/>
      <c r="K18" s="393"/>
      <c r="L18" s="393"/>
      <c r="M18" s="393"/>
      <c r="N18" s="393"/>
      <c r="O18" s="393"/>
      <c r="P18" s="393"/>
    </row>
    <row r="19" spans="1:16" s="394" customFormat="1" ht="19.5" customHeight="1">
      <c r="A19" s="398"/>
      <c r="B19" s="398"/>
      <c r="C19" s="398"/>
      <c r="D19" s="399" t="str">
        <f>'Zbiorczo-paragr'!D19</f>
        <v>usługi konserwacyjne, naprawcze urządzeń, sprzętu i samochodu służbowego</v>
      </c>
      <c r="E19" s="402">
        <v>6500</v>
      </c>
      <c r="F19" s="402">
        <v>6500</v>
      </c>
      <c r="G19" s="401">
        <f t="shared" si="0"/>
        <v>1</v>
      </c>
      <c r="H19" s="397"/>
      <c r="I19" s="393"/>
      <c r="J19" s="393"/>
      <c r="K19" s="393"/>
      <c r="L19" s="393"/>
      <c r="M19" s="393"/>
      <c r="N19" s="393"/>
      <c r="O19" s="393"/>
      <c r="P19" s="393"/>
    </row>
    <row r="20" spans="1:16" s="394" customFormat="1" ht="20.25" customHeight="1">
      <c r="A20" s="398"/>
      <c r="B20" s="398"/>
      <c r="C20" s="398">
        <f>'Zbiorczo-paragr'!C20</f>
        <v>4280</v>
      </c>
      <c r="D20" s="399" t="str">
        <f>'Zbiorczo-paragr'!D20</f>
        <v>Zakup usług zdrowotnych</v>
      </c>
      <c r="E20" s="400">
        <f>SUM(E21)</f>
        <v>1100</v>
      </c>
      <c r="F20" s="400">
        <f>SUM(F21)</f>
        <v>600</v>
      </c>
      <c r="G20" s="401">
        <f t="shared" si="0"/>
        <v>0.54545454545454541</v>
      </c>
      <c r="H20" s="397"/>
      <c r="I20" s="393"/>
      <c r="J20" s="393"/>
      <c r="K20" s="393"/>
      <c r="L20" s="393"/>
      <c r="M20" s="393"/>
      <c r="N20" s="393"/>
      <c r="O20" s="393"/>
      <c r="P20" s="393"/>
    </row>
    <row r="21" spans="1:16" s="394" customFormat="1" ht="30.75" customHeight="1">
      <c r="A21" s="398"/>
      <c r="B21" s="398"/>
      <c r="C21" s="398"/>
      <c r="D21" s="399" t="str">
        <f>'Zbiorczo-paragr'!D21</f>
        <v xml:space="preserve"> wydatki z zakresu medycyny pracy obejmujące badania wstępne, okresowe i profilaktyczne pracowników</v>
      </c>
      <c r="E21" s="402">
        <v>1100</v>
      </c>
      <c r="F21" s="402">
        <v>600</v>
      </c>
      <c r="G21" s="401">
        <f t="shared" si="0"/>
        <v>0.54545454545454541</v>
      </c>
      <c r="H21" s="397"/>
      <c r="I21" s="393"/>
      <c r="J21" s="393"/>
      <c r="K21" s="393"/>
      <c r="L21" s="393"/>
      <c r="M21" s="393"/>
      <c r="N21" s="393"/>
      <c r="O21" s="393"/>
      <c r="P21" s="393"/>
    </row>
    <row r="22" spans="1:16" s="394" customFormat="1" ht="17.25" customHeight="1">
      <c r="A22" s="398"/>
      <c r="B22" s="398"/>
      <c r="C22" s="398">
        <f>'Zbiorczo-paragr'!C22</f>
        <v>4300</v>
      </c>
      <c r="D22" s="399" t="str">
        <f>'Zbiorczo-paragr'!D22</f>
        <v xml:space="preserve">Zakup usług pozostałych                                 </v>
      </c>
      <c r="E22" s="400">
        <f>SUM(E23)</f>
        <v>39290</v>
      </c>
      <c r="F22" s="400">
        <f>SUM(F23)</f>
        <v>36500</v>
      </c>
      <c r="G22" s="401">
        <f t="shared" si="0"/>
        <v>0.92898956477475181</v>
      </c>
      <c r="H22" s="397"/>
      <c r="I22" s="393"/>
      <c r="J22" s="393"/>
      <c r="K22" s="393"/>
      <c r="L22" s="393"/>
      <c r="M22" s="393"/>
      <c r="N22" s="393"/>
      <c r="O22" s="393"/>
      <c r="P22" s="393"/>
    </row>
    <row r="23" spans="1:16" s="394" customFormat="1" ht="30" customHeight="1">
      <c r="A23" s="398"/>
      <c r="B23" s="398"/>
      <c r="C23" s="398"/>
      <c r="D23" s="399" t="str">
        <f>'Zbiorczo-paragr'!D23</f>
        <v>usługi pocztowe, rozliczenie kserokopiarki, serwis nad oprogramowaniem, opłaty za licencje, pełnienie obowiązków RODO i inne</v>
      </c>
      <c r="E23" s="402">
        <v>39290</v>
      </c>
      <c r="F23" s="402">
        <v>36500</v>
      </c>
      <c r="G23" s="401">
        <f t="shared" si="0"/>
        <v>0.92898956477475181</v>
      </c>
      <c r="H23" s="397"/>
      <c r="I23" s="393"/>
      <c r="J23" s="393"/>
      <c r="K23" s="393"/>
      <c r="L23" s="393"/>
      <c r="M23" s="393"/>
      <c r="N23" s="393"/>
      <c r="O23" s="393"/>
      <c r="P23" s="393"/>
    </row>
    <row r="24" spans="1:16" s="394" customFormat="1" ht="17.25" customHeight="1">
      <c r="A24" s="398"/>
      <c r="B24" s="398"/>
      <c r="C24" s="398">
        <f>'Zbiorczo-paragr'!C24</f>
        <v>4360</v>
      </c>
      <c r="D24" s="399" t="str">
        <f>'Zbiorczo-paragr'!D24</f>
        <v>Opłaty z tytułu zakupu usługi telekomunikacyjnych</v>
      </c>
      <c r="E24" s="400">
        <f>SUM(E25)</f>
        <v>7150</v>
      </c>
      <c r="F24" s="400">
        <f>SUM(F25)</f>
        <v>5500</v>
      </c>
      <c r="G24" s="401">
        <f t="shared" si="0"/>
        <v>0.76923076923076927</v>
      </c>
      <c r="H24" s="397"/>
      <c r="I24" s="393"/>
      <c r="J24" s="393"/>
      <c r="K24" s="393"/>
      <c r="L24" s="393"/>
      <c r="M24" s="393"/>
      <c r="N24" s="393"/>
      <c r="O24" s="393"/>
      <c r="P24" s="393"/>
    </row>
    <row r="25" spans="1:16" s="394" customFormat="1" ht="19.5" customHeight="1">
      <c r="A25" s="398"/>
      <c r="B25" s="398"/>
      <c r="C25" s="398"/>
      <c r="D25" s="399" t="str">
        <f>'Zbiorczo-paragr'!D25</f>
        <v>opłaty za telefony i internet</v>
      </c>
      <c r="E25" s="402">
        <v>7150</v>
      </c>
      <c r="F25" s="402">
        <v>5500</v>
      </c>
      <c r="G25" s="401">
        <f t="shared" si="0"/>
        <v>0.76923076923076927</v>
      </c>
      <c r="H25" s="397"/>
      <c r="I25" s="393"/>
      <c r="J25" s="393"/>
      <c r="K25" s="393"/>
      <c r="L25" s="393"/>
      <c r="M25" s="393"/>
      <c r="N25" s="393"/>
      <c r="O25" s="393"/>
      <c r="P25" s="393"/>
    </row>
    <row r="26" spans="1:16" s="394" customFormat="1" ht="18.75" customHeight="1">
      <c r="A26" s="398"/>
      <c r="B26" s="398"/>
      <c r="C26" s="398">
        <f>'Zbiorczo-paragr'!C26</f>
        <v>4410</v>
      </c>
      <c r="D26" s="399" t="str">
        <f>'Zbiorczo-paragr'!D26</f>
        <v xml:space="preserve">Podróże służbowe krajowe                                </v>
      </c>
      <c r="E26" s="400">
        <f>SUM(E27)</f>
        <v>4600</v>
      </c>
      <c r="F26" s="400">
        <f>SUM(F27)</f>
        <v>5000</v>
      </c>
      <c r="G26" s="401">
        <f t="shared" si="0"/>
        <v>1.0869565217391304</v>
      </c>
      <c r="H26" s="397"/>
      <c r="I26" s="393"/>
      <c r="J26" s="393"/>
      <c r="K26" s="393"/>
      <c r="L26" s="393"/>
      <c r="M26" s="393"/>
      <c r="N26" s="393"/>
      <c r="O26" s="393"/>
      <c r="P26" s="393"/>
    </row>
    <row r="27" spans="1:16" s="394" customFormat="1" ht="44.25" customHeight="1">
      <c r="A27" s="398"/>
      <c r="B27" s="398"/>
      <c r="C27" s="398"/>
      <c r="D27" s="399" t="str">
        <f>'Zbiorczo-paragr'!D27</f>
        <v>wydatki na podróże służbowe krajowe i zwrot kosztów za używanie przez pracowników własnych pojazdów do celów służbowych w granicach administracyjnych gminy</v>
      </c>
      <c r="E27" s="402">
        <v>4600</v>
      </c>
      <c r="F27" s="402">
        <v>5000</v>
      </c>
      <c r="G27" s="401">
        <f t="shared" si="0"/>
        <v>1.0869565217391304</v>
      </c>
      <c r="H27" s="397"/>
      <c r="I27" s="393"/>
      <c r="J27" s="393"/>
      <c r="K27" s="393"/>
      <c r="L27" s="393"/>
      <c r="M27" s="393"/>
      <c r="N27" s="393"/>
      <c r="O27" s="393"/>
      <c r="P27" s="393"/>
    </row>
    <row r="28" spans="1:16" s="394" customFormat="1" ht="18" customHeight="1">
      <c r="A28" s="398"/>
      <c r="B28" s="398"/>
      <c r="C28" s="398">
        <f>'Zbiorczo-paragr'!C28</f>
        <v>4430</v>
      </c>
      <c r="D28" s="399" t="str">
        <f>'Zbiorczo-paragr'!D28</f>
        <v xml:space="preserve">Różne opłaty i składki                                  </v>
      </c>
      <c r="E28" s="400">
        <f>SUM(E29)</f>
        <v>2300</v>
      </c>
      <c r="F28" s="400">
        <f>SUM(F29)</f>
        <v>2300</v>
      </c>
      <c r="G28" s="401">
        <f t="shared" si="0"/>
        <v>1</v>
      </c>
      <c r="H28" s="397"/>
      <c r="I28" s="393"/>
      <c r="J28" s="393"/>
      <c r="K28" s="393"/>
      <c r="L28" s="393"/>
      <c r="M28" s="393"/>
      <c r="N28" s="393"/>
      <c r="O28" s="393"/>
      <c r="P28" s="393"/>
    </row>
    <row r="29" spans="1:16" s="394" customFormat="1" ht="19.5" customHeight="1">
      <c r="A29" s="398"/>
      <c r="B29" s="398"/>
      <c r="C29" s="398"/>
      <c r="D29" s="399" t="str">
        <f>'Zbiorczo-paragr'!D29</f>
        <v xml:space="preserve"> ubezpieczenie rzeczowe i opłaty za ubezpieczenie samochodu </v>
      </c>
      <c r="E29" s="402">
        <v>2300</v>
      </c>
      <c r="F29" s="402">
        <v>2300</v>
      </c>
      <c r="G29" s="401">
        <f t="shared" si="0"/>
        <v>1</v>
      </c>
      <c r="H29" s="397"/>
      <c r="I29" s="393"/>
      <c r="J29" s="393"/>
      <c r="K29" s="393"/>
      <c r="L29" s="393"/>
      <c r="M29" s="393"/>
      <c r="N29" s="393"/>
      <c r="O29" s="393"/>
      <c r="P29" s="393"/>
    </row>
    <row r="30" spans="1:16" s="394" customFormat="1" ht="21" customHeight="1">
      <c r="A30" s="398"/>
      <c r="B30" s="398"/>
      <c r="C30" s="398">
        <f>'Zbiorczo-paragr'!C30</f>
        <v>4440</v>
      </c>
      <c r="D30" s="399" t="str">
        <f>'Zbiorczo-paragr'!D30</f>
        <v xml:space="preserve">Odpisy na zakładowy fundusz świadczeń socjalnych        </v>
      </c>
      <c r="E30" s="400">
        <f>SUM(E31)</f>
        <v>14030</v>
      </c>
      <c r="F30" s="400">
        <f>SUM(F31)</f>
        <v>14030</v>
      </c>
      <c r="G30" s="401">
        <f t="shared" si="0"/>
        <v>1</v>
      </c>
      <c r="H30" s="397"/>
      <c r="I30" s="393"/>
      <c r="J30" s="393"/>
      <c r="K30" s="393"/>
      <c r="L30" s="393"/>
      <c r="M30" s="393"/>
      <c r="N30" s="393"/>
      <c r="O30" s="393"/>
      <c r="P30" s="393"/>
    </row>
    <row r="31" spans="1:16" s="394" customFormat="1" ht="30" customHeight="1">
      <c r="A31" s="398"/>
      <c r="B31" s="398"/>
      <c r="C31" s="398"/>
      <c r="D31" s="399" t="str">
        <f>'Zbiorczo-paragr'!D31</f>
        <v xml:space="preserve">wydatki ponoszone zgodnie z przepisami ustawy o zakładowym funduszu świadczeń socjalnych </v>
      </c>
      <c r="E31" s="402">
        <v>14030</v>
      </c>
      <c r="F31" s="402">
        <v>14030</v>
      </c>
      <c r="G31" s="401">
        <f t="shared" si="0"/>
        <v>1</v>
      </c>
      <c r="H31" s="397"/>
      <c r="I31" s="393"/>
      <c r="J31" s="393"/>
      <c r="K31" s="393"/>
      <c r="L31" s="393"/>
      <c r="M31" s="393"/>
      <c r="N31" s="393"/>
      <c r="O31" s="393"/>
      <c r="P31" s="393"/>
    </row>
    <row r="32" spans="1:16" s="394" customFormat="1" ht="21" customHeight="1">
      <c r="A32" s="398"/>
      <c r="B32" s="398"/>
      <c r="C32" s="398">
        <f>'Zbiorczo-paragr'!C32</f>
        <v>4700</v>
      </c>
      <c r="D32" s="399" t="str">
        <f>'Zbiorczo-paragr'!D32</f>
        <v>Szkolenie pracowników niebędących członkami korpusu służby cywilnej</v>
      </c>
      <c r="E32" s="400">
        <f>SUM(E33)</f>
        <v>12000</v>
      </c>
      <c r="F32" s="400">
        <f>SUM(F33)</f>
        <v>12000</v>
      </c>
      <c r="G32" s="401">
        <f t="shared" si="0"/>
        <v>1</v>
      </c>
      <c r="H32" s="397"/>
      <c r="I32" s="393"/>
      <c r="J32" s="393"/>
      <c r="K32" s="393"/>
      <c r="L32" s="393"/>
      <c r="M32" s="393"/>
      <c r="N32" s="393"/>
      <c r="O32" s="393"/>
      <c r="P32" s="393"/>
    </row>
    <row r="33" spans="1:16" s="394" customFormat="1" ht="19.899999999999999" customHeight="1">
      <c r="A33" s="398"/>
      <c r="B33" s="398"/>
      <c r="C33" s="398"/>
      <c r="D33" s="399" t="str">
        <f>'Zbiorczo-paragr'!D33</f>
        <v xml:space="preserve">szkolenia pracowników </v>
      </c>
      <c r="E33" s="402">
        <v>12000</v>
      </c>
      <c r="F33" s="402">
        <v>12000</v>
      </c>
      <c r="G33" s="401">
        <f t="shared" si="0"/>
        <v>1</v>
      </c>
      <c r="H33" s="397"/>
      <c r="I33" s="393"/>
      <c r="J33" s="393"/>
      <c r="K33" s="393"/>
      <c r="L33" s="393"/>
      <c r="M33" s="393"/>
      <c r="N33" s="393"/>
      <c r="O33" s="393"/>
      <c r="P33" s="393"/>
    </row>
    <row r="34" spans="1:16" s="394" customFormat="1" ht="21" hidden="1" customHeight="1">
      <c r="A34" s="395"/>
      <c r="B34" s="395"/>
      <c r="C34" s="404">
        <v>6060</v>
      </c>
      <c r="D34" s="405" t="s">
        <v>414</v>
      </c>
      <c r="E34" s="406">
        <f>E35</f>
        <v>0</v>
      </c>
      <c r="F34" s="406">
        <f>F35</f>
        <v>0</v>
      </c>
      <c r="G34" s="401" t="e">
        <f t="shared" si="0"/>
        <v>#DIV/0!</v>
      </c>
      <c r="H34" s="397"/>
      <c r="I34" s="393"/>
      <c r="J34" s="393"/>
      <c r="K34" s="393"/>
      <c r="L34" s="393"/>
      <c r="M34" s="393"/>
      <c r="N34" s="393"/>
      <c r="O34" s="393"/>
      <c r="P34" s="393"/>
    </row>
    <row r="35" spans="1:16" s="394" customFormat="1" ht="21" hidden="1" customHeight="1">
      <c r="A35" s="395"/>
      <c r="B35" s="395"/>
      <c r="C35" s="404"/>
      <c r="D35" s="405" t="s">
        <v>660</v>
      </c>
      <c r="E35" s="406">
        <v>0</v>
      </c>
      <c r="F35" s="406">
        <v>0</v>
      </c>
      <c r="G35" s="401" t="e">
        <f t="shared" si="0"/>
        <v>#DIV/0!</v>
      </c>
      <c r="H35" s="397"/>
      <c r="I35" s="393"/>
      <c r="J35" s="393"/>
      <c r="K35" s="393"/>
      <c r="L35" s="393"/>
      <c r="M35" s="393"/>
      <c r="N35" s="393"/>
      <c r="O35" s="393"/>
      <c r="P35" s="393"/>
    </row>
    <row r="36" spans="1:16" s="394" customFormat="1" ht="18.75" customHeight="1">
      <c r="A36" s="624" t="str">
        <f>'Zbiorczo-paragr'!A36:D36</f>
        <v>75085 Wspólna obsługa jednostek samorządu terytorialnego : Razem</v>
      </c>
      <c r="B36" s="625"/>
      <c r="C36" s="625"/>
      <c r="D36" s="626"/>
      <c r="E36" s="407">
        <f>SUM(E3+E5+E8+E10+E11+E12+E14+E16+E18+E20+E22+E24+E26+E28+E30+E32+E34)</f>
        <v>1311080</v>
      </c>
      <c r="F36" s="407">
        <f>SUM(F3+F5+F8+F10+F11+F12+F14+F16+F18+F20+F22+F24+F26+F28+F30+F32+F34)</f>
        <v>1330180</v>
      </c>
      <c r="G36" s="408">
        <f t="shared" si="0"/>
        <v>1.014568142294902</v>
      </c>
      <c r="H36" s="397"/>
      <c r="I36" s="393"/>
      <c r="J36" s="409"/>
      <c r="K36" s="393"/>
      <c r="L36" s="393"/>
      <c r="M36" s="393"/>
      <c r="N36" s="393"/>
      <c r="O36" s="393"/>
      <c r="P36" s="393"/>
    </row>
    <row r="37" spans="1:16" s="394" customFormat="1" ht="31.5" customHeight="1">
      <c r="A37" s="629">
        <v>801</v>
      </c>
      <c r="B37" s="629">
        <v>80101</v>
      </c>
      <c r="C37" s="627">
        <v>2310</v>
      </c>
      <c r="D37" s="410" t="str">
        <f>'Zbiorczo-paragr'!D37</f>
        <v>Dotacje celowe otrzymane z gminy na zadania bieżące realizowane na podstawie porozumień (umów) między jednostkami samorządu terytorialnego</v>
      </c>
      <c r="E37" s="411">
        <f>E38</f>
        <v>2100</v>
      </c>
      <c r="F37" s="411">
        <f>F38</f>
        <v>2100</v>
      </c>
      <c r="G37" s="401">
        <f t="shared" si="0"/>
        <v>1</v>
      </c>
      <c r="H37" s="397"/>
      <c r="I37" s="393"/>
      <c r="J37" s="393"/>
      <c r="K37" s="393"/>
      <c r="L37" s="393"/>
      <c r="M37" s="393"/>
      <c r="N37" s="393"/>
      <c r="O37" s="393"/>
      <c r="P37" s="393"/>
    </row>
    <row r="38" spans="1:16" s="394" customFormat="1" ht="18.75" customHeight="1">
      <c r="A38" s="629"/>
      <c r="B38" s="629"/>
      <c r="C38" s="628"/>
      <c r="D38" s="410" t="str">
        <f>'Zbiorczo-paragr'!D38</f>
        <v>nauka religii w pozaszkolnych punktach katechetycznych</v>
      </c>
      <c r="E38" s="411">
        <v>2100</v>
      </c>
      <c r="F38" s="411">
        <v>2100</v>
      </c>
      <c r="G38" s="401">
        <f t="shared" si="0"/>
        <v>1</v>
      </c>
      <c r="H38" s="397"/>
      <c r="I38" s="393"/>
      <c r="J38" s="393"/>
      <c r="K38" s="393"/>
      <c r="L38" s="393"/>
      <c r="M38" s="393"/>
      <c r="N38" s="393"/>
      <c r="O38" s="393"/>
      <c r="P38" s="393"/>
    </row>
    <row r="39" spans="1:16" s="394" customFormat="1" ht="18.75" customHeight="1">
      <c r="A39" s="624" t="str">
        <f>'Zbiorczo-paragr'!A133:D133</f>
        <v>80101 Szkoły podstawowe : Razem</v>
      </c>
      <c r="B39" s="625"/>
      <c r="C39" s="625"/>
      <c r="D39" s="626"/>
      <c r="E39" s="407">
        <f>E37</f>
        <v>2100</v>
      </c>
      <c r="F39" s="407">
        <f>F37</f>
        <v>2100</v>
      </c>
      <c r="G39" s="408">
        <f t="shared" si="0"/>
        <v>1</v>
      </c>
      <c r="H39" s="397"/>
      <c r="I39" s="393"/>
      <c r="J39" s="393"/>
      <c r="K39" s="393"/>
      <c r="L39" s="393"/>
      <c r="M39" s="393"/>
      <c r="N39" s="393"/>
      <c r="O39" s="393"/>
      <c r="P39" s="393"/>
    </row>
    <row r="40" spans="1:16" ht="31.5" customHeight="1">
      <c r="A40" s="630">
        <v>801</v>
      </c>
      <c r="B40" s="611">
        <f>'Zbiorczo-paragr'!B134</f>
        <v>80103</v>
      </c>
      <c r="C40" s="611">
        <v>2310</v>
      </c>
      <c r="D40" s="410" t="str">
        <f>'Zbiorczo-paragr'!D134</f>
        <v>Dotacje celowe otrzymane z gminy na zadania bieżące realizowane na podstawie porozumień (umów) między jednostkami samorządu terytorialnego</v>
      </c>
      <c r="E40" s="400">
        <f>SUM(E41:E43)</f>
        <v>14145</v>
      </c>
      <c r="F40" s="400">
        <f>SUM(F41:F43)</f>
        <v>31680</v>
      </c>
      <c r="G40" s="401">
        <f t="shared" ref="G40:G48" si="1">SUM(F40/E40)</f>
        <v>2.23966065747614</v>
      </c>
      <c r="H40" s="413" t="e">
        <f>F40/#REF!</f>
        <v>#REF!</v>
      </c>
      <c r="I40" s="393"/>
      <c r="J40" s="393"/>
      <c r="K40" s="393"/>
      <c r="L40" s="393"/>
      <c r="M40" s="393"/>
      <c r="N40" s="393"/>
      <c r="O40" s="393"/>
      <c r="P40" s="393"/>
    </row>
    <row r="41" spans="1:16" ht="18.75" customHeight="1">
      <c r="A41" s="631"/>
      <c r="B41" s="611"/>
      <c r="C41" s="611"/>
      <c r="D41" s="410" t="str">
        <f>'Zbiorczo-paragr'!D135</f>
        <v>Oddziały przedszkolne w Warszawie</v>
      </c>
      <c r="E41" s="400">
        <v>12480</v>
      </c>
      <c r="F41" s="400">
        <f>'Niepubl placówki'!E2</f>
        <v>31680</v>
      </c>
      <c r="G41" s="401">
        <f t="shared" si="1"/>
        <v>2.5384615384615383</v>
      </c>
      <c r="H41" s="413"/>
      <c r="I41" s="393"/>
      <c r="J41" s="393"/>
      <c r="K41" s="393"/>
      <c r="L41" s="393"/>
      <c r="M41" s="393"/>
      <c r="N41" s="393"/>
      <c r="O41" s="393"/>
      <c r="P41" s="393"/>
    </row>
    <row r="42" spans="1:16" ht="15.75" customHeight="1">
      <c r="A42" s="631"/>
      <c r="B42" s="611"/>
      <c r="C42" s="623"/>
      <c r="D42" s="410" t="str">
        <f>'Zbiorczo-paragr'!D136</f>
        <v>Nauka języka ukraińskiego</v>
      </c>
      <c r="E42" s="402">
        <v>1665</v>
      </c>
      <c r="F42" s="402">
        <f>'Niepubl placówki'!E3</f>
        <v>0</v>
      </c>
      <c r="G42" s="401">
        <f t="shared" si="1"/>
        <v>0</v>
      </c>
      <c r="H42" s="413" t="e">
        <f>F42/#REF!</f>
        <v>#REF!</v>
      </c>
      <c r="I42" s="393"/>
      <c r="J42" s="393"/>
      <c r="K42" s="393"/>
      <c r="L42" s="393"/>
      <c r="M42" s="393"/>
      <c r="N42" s="393"/>
      <c r="O42" s="393"/>
      <c r="P42" s="393"/>
    </row>
    <row r="43" spans="1:16" ht="18" hidden="1" customHeight="1">
      <c r="A43" s="631"/>
      <c r="B43" s="611"/>
      <c r="C43" s="623"/>
      <c r="D43" s="410" t="str">
        <f>'Zbiorczo-paragr'!D137</f>
        <v>Oddziały przedszkolne w Podkowie Leśnej</v>
      </c>
      <c r="E43" s="402">
        <v>0</v>
      </c>
      <c r="F43" s="402">
        <f>'Niepubl placówki'!E3</f>
        <v>0</v>
      </c>
      <c r="G43" s="401" t="e">
        <f t="shared" si="1"/>
        <v>#DIV/0!</v>
      </c>
      <c r="H43" s="413" t="e">
        <f>F43/#REF!</f>
        <v>#REF!</v>
      </c>
      <c r="I43" s="393"/>
      <c r="J43" s="393"/>
      <c r="K43" s="393"/>
      <c r="L43" s="393"/>
      <c r="M43" s="393"/>
      <c r="N43" s="393"/>
      <c r="O43" s="393"/>
      <c r="P43" s="393"/>
    </row>
    <row r="44" spans="1:16" ht="33.75" customHeight="1">
      <c r="A44" s="631"/>
      <c r="B44" s="611"/>
      <c r="C44" s="27">
        <v>4330</v>
      </c>
      <c r="D44" s="410" t="str">
        <f>'Zbiorczo-paragr'!D138</f>
        <v>Zakup usług przez jednostki samorządu terytorialnego od innych jednostek samorządu terytorialnego</v>
      </c>
      <c r="E44" s="402">
        <f>E45</f>
        <v>6335</v>
      </c>
      <c r="F44" s="402">
        <f>F45</f>
        <v>6000</v>
      </c>
      <c r="G44" s="401">
        <f t="shared" si="1"/>
        <v>0.94711917916337807</v>
      </c>
      <c r="H44" s="413"/>
      <c r="I44" s="393"/>
      <c r="J44" s="393"/>
      <c r="K44" s="393"/>
      <c r="L44" s="393"/>
      <c r="M44" s="393"/>
      <c r="N44" s="393"/>
      <c r="O44" s="393"/>
      <c r="P44" s="393"/>
    </row>
    <row r="45" spans="1:16" ht="18" customHeight="1">
      <c r="A45" s="632"/>
      <c r="B45" s="611"/>
      <c r="C45" s="415"/>
      <c r="D45" s="410" t="str">
        <f>'Zbiorczo-paragr'!D139</f>
        <v>Refundacja kosztów w publicznych oddziałach przedszkolnych</v>
      </c>
      <c r="E45" s="402">
        <v>6335</v>
      </c>
      <c r="F45" s="402">
        <v>6000</v>
      </c>
      <c r="G45" s="401">
        <f t="shared" si="1"/>
        <v>0.94711917916337807</v>
      </c>
      <c r="H45" s="413" t="e">
        <f>F45/#REF!</f>
        <v>#REF!</v>
      </c>
      <c r="I45" s="393"/>
      <c r="J45" s="393"/>
      <c r="K45" s="393"/>
      <c r="L45" s="393"/>
      <c r="M45" s="393"/>
      <c r="N45" s="393"/>
      <c r="O45" s="393"/>
      <c r="P45" s="393"/>
    </row>
    <row r="46" spans="1:16" ht="21" customHeight="1">
      <c r="A46" s="599" t="str">
        <f>'Zbiorczo-paragr'!A183:D183</f>
        <v>80103 Oddziały przedszkolne w szkołach podstawowych : Razem</v>
      </c>
      <c r="B46" s="621"/>
      <c r="C46" s="621"/>
      <c r="D46" s="622"/>
      <c r="E46" s="416">
        <f>SUM(E40+E45)</f>
        <v>20480</v>
      </c>
      <c r="F46" s="416">
        <f>SUM(F40+F45)</f>
        <v>37680</v>
      </c>
      <c r="G46" s="408">
        <f t="shared" si="1"/>
        <v>1.83984375</v>
      </c>
      <c r="H46" s="413" t="e">
        <f>F46/#REF!</f>
        <v>#REF!</v>
      </c>
      <c r="I46" s="393"/>
      <c r="J46" s="393"/>
      <c r="K46" s="393"/>
      <c r="L46" s="393"/>
      <c r="M46" s="393"/>
      <c r="N46" s="393"/>
      <c r="O46" s="393"/>
      <c r="P46" s="393"/>
    </row>
    <row r="47" spans="1:16" ht="16.5" customHeight="1">
      <c r="A47" s="594">
        <v>801</v>
      </c>
      <c r="B47" s="594">
        <v>80104</v>
      </c>
      <c r="C47" s="630">
        <f>'Zbiorczo-paragr'!C184</f>
        <v>2540</v>
      </c>
      <c r="D47" s="412" t="str">
        <f>'Zbiorczo-paragr'!D184</f>
        <v>Dotacja podmiotowa z budżetu dla niepublicznej jednostki systemu oświaty</v>
      </c>
      <c r="E47" s="400">
        <f>SUM(E48:E68)</f>
        <v>3908543</v>
      </c>
      <c r="F47" s="400">
        <f>SUM(F48:F68)</f>
        <v>4164213</v>
      </c>
      <c r="G47" s="401">
        <f t="shared" si="1"/>
        <v>1.0654131219740963</v>
      </c>
      <c r="H47" s="413" t="e">
        <f>F47/#REF!</f>
        <v>#REF!</v>
      </c>
      <c r="I47" s="418"/>
      <c r="J47" s="418"/>
      <c r="K47" s="393"/>
      <c r="L47" s="393"/>
      <c r="M47" s="393"/>
      <c r="N47" s="393"/>
      <c r="O47" s="393"/>
      <c r="P47" s="393"/>
    </row>
    <row r="48" spans="1:16" ht="32.25" customHeight="1">
      <c r="A48" s="596"/>
      <c r="B48" s="595"/>
      <c r="C48" s="631"/>
      <c r="D48" s="412" t="str">
        <f>'Zbiorczo-paragr'!D185</f>
        <v xml:space="preserve">Przedszkole Niepubliczne Zgromadzenia Sióstr Misjonarek Świętej Rodziny w Komorowie                </v>
      </c>
      <c r="E48" s="421">
        <v>647664</v>
      </c>
      <c r="F48" s="421">
        <f>ROUNDUP('Niepubl placówki'!E5,0)</f>
        <v>790562</v>
      </c>
      <c r="G48" s="422">
        <f t="shared" si="1"/>
        <v>1.2206360087946837</v>
      </c>
      <c r="H48" s="413" t="e">
        <f>F48/#REF!</f>
        <v>#REF!</v>
      </c>
      <c r="I48" s="409">
        <f t="shared" ref="I48:I55" si="2">F48+F59</f>
        <v>1001012</v>
      </c>
      <c r="J48" s="393"/>
      <c r="K48" s="393"/>
      <c r="L48" s="393"/>
      <c r="M48" s="393"/>
      <c r="N48" s="393"/>
      <c r="O48" s="393"/>
      <c r="P48" s="393"/>
    </row>
    <row r="49" spans="1:16" ht="17.25" customHeight="1">
      <c r="A49" s="596"/>
      <c r="B49" s="595"/>
      <c r="C49" s="631"/>
      <c r="D49" s="412" t="str">
        <f>'Zbiorczo-paragr'!D186</f>
        <v xml:space="preserve">Przedszkole Niepubliczne Sióstr Służebniczek NMP w Komorowie            </v>
      </c>
      <c r="E49" s="421">
        <v>308334</v>
      </c>
      <c r="F49" s="421">
        <f>ROUNDUP('Niepubl placówki'!E6,0)</f>
        <v>357211</v>
      </c>
      <c r="G49" s="401">
        <f>SUM(F49/E49)</f>
        <v>1.1585196572547951</v>
      </c>
      <c r="H49" s="413" t="e">
        <f>F49/#REF!</f>
        <v>#REF!</v>
      </c>
      <c r="I49" s="409">
        <f t="shared" si="2"/>
        <v>490496</v>
      </c>
      <c r="J49" s="393">
        <f>4164213-4115108</f>
        <v>49105</v>
      </c>
      <c r="K49" s="393"/>
      <c r="L49" s="393"/>
      <c r="M49" s="393"/>
      <c r="N49" s="393"/>
      <c r="O49" s="393"/>
      <c r="P49" s="393"/>
    </row>
    <row r="50" spans="1:16" ht="16.5" customHeight="1">
      <c r="A50" s="596"/>
      <c r="B50" s="595"/>
      <c r="C50" s="631"/>
      <c r="D50" s="412" t="str">
        <f>'Zbiorczo-paragr'!D187</f>
        <v xml:space="preserve">Prywatne Przedszkole w Michałowicach               </v>
      </c>
      <c r="E50" s="421">
        <v>47142</v>
      </c>
      <c r="F50" s="421">
        <f>ROUNDUP('Niepubl placówki'!E7,0)</f>
        <v>67644</v>
      </c>
      <c r="G50" s="422">
        <f>SUM(F50/E50)</f>
        <v>1.4348988163421152</v>
      </c>
      <c r="H50" s="413" t="e">
        <f>F50/#REF!</f>
        <v>#REF!</v>
      </c>
      <c r="I50" s="409">
        <f t="shared" si="2"/>
        <v>90092</v>
      </c>
      <c r="J50" s="393"/>
      <c r="K50" s="393"/>
      <c r="L50" s="393"/>
      <c r="M50" s="393"/>
      <c r="N50" s="393"/>
      <c r="O50" s="393"/>
      <c r="P50" s="393"/>
    </row>
    <row r="51" spans="1:16" ht="15.75" customHeight="1">
      <c r="A51" s="596"/>
      <c r="B51" s="595"/>
      <c r="C51" s="631"/>
      <c r="D51" s="412" t="str">
        <f>'Zbiorczo-paragr'!D188</f>
        <v xml:space="preserve">Przedszkole Niepubliczne "Zielone Przedszkole" w Komorowie-Granicy </v>
      </c>
      <c r="E51" s="421">
        <v>394661</v>
      </c>
      <c r="F51" s="421">
        <f>ROUNDUP('Niepubl placówki'!E8,0)</f>
        <v>367221</v>
      </c>
      <c r="G51" s="422">
        <f>SUM(F51/E51)</f>
        <v>0.93047197468206888</v>
      </c>
      <c r="H51" s="413" t="e">
        <f>F51/#REF!</f>
        <v>#REF!</v>
      </c>
      <c r="I51" s="409">
        <f t="shared" si="2"/>
        <v>500506</v>
      </c>
      <c r="J51" s="393"/>
      <c r="K51" s="393"/>
      <c r="L51" s="393"/>
      <c r="M51" s="393"/>
      <c r="N51" s="393"/>
      <c r="O51" s="393"/>
      <c r="P51" s="393"/>
    </row>
    <row r="52" spans="1:16" ht="14.25" customHeight="1">
      <c r="A52" s="596"/>
      <c r="B52" s="595"/>
      <c r="C52" s="631"/>
      <c r="D52" s="412" t="str">
        <f>'Zbiorczo-paragr'!D189</f>
        <v>Przedszkole niepubliczne "Bavi" w Pęcicach</v>
      </c>
      <c r="E52" s="421">
        <v>598974</v>
      </c>
      <c r="F52" s="421">
        <f>ROUNDUP('Niepubl placówki'!E9,0)</f>
        <v>690461</v>
      </c>
      <c r="G52" s="422">
        <f>SUM(F52/E52)</f>
        <v>1.1527395179089577</v>
      </c>
      <c r="H52" s="413" t="e">
        <f>F52/#REF!</f>
        <v>#REF!</v>
      </c>
      <c r="I52" s="409">
        <f t="shared" si="2"/>
        <v>900911</v>
      </c>
      <c r="J52" s="393"/>
      <c r="K52" s="393"/>
      <c r="L52" s="393"/>
      <c r="M52" s="393"/>
      <c r="N52" s="393"/>
      <c r="O52" s="393"/>
      <c r="P52" s="393"/>
    </row>
    <row r="53" spans="1:16" ht="18" customHeight="1">
      <c r="A53" s="596"/>
      <c r="B53" s="595"/>
      <c r="C53" s="631"/>
      <c r="D53" s="412" t="str">
        <f>'Zbiorczo-paragr'!D190</f>
        <v>Przedszkole niepubliczne "Prestige for Kids" w Komorowie</v>
      </c>
      <c r="E53" s="421">
        <v>94893</v>
      </c>
      <c r="F53" s="421">
        <f>ROUNDUP('Niepubl placówki'!E10,0)</f>
        <v>122092</v>
      </c>
      <c r="G53" s="401">
        <f t="shared" ref="G53:G87" si="3">SUM(F53/E53)</f>
        <v>1.2866280969091504</v>
      </c>
      <c r="H53" s="413" t="e">
        <f>F53/#REF!</f>
        <v>#REF!</v>
      </c>
      <c r="I53" s="409">
        <f t="shared" si="2"/>
        <v>150152</v>
      </c>
      <c r="J53" s="393"/>
      <c r="K53" s="393"/>
      <c r="L53" s="393"/>
      <c r="M53" s="393"/>
      <c r="N53" s="393"/>
      <c r="O53" s="393"/>
      <c r="P53" s="393"/>
    </row>
    <row r="54" spans="1:16" ht="15.75" customHeight="1">
      <c r="A54" s="596"/>
      <c r="B54" s="595"/>
      <c r="C54" s="631"/>
      <c r="D54" s="412" t="str">
        <f>'Zbiorczo-paragr'!D191</f>
        <v xml:space="preserve">Przedszkole niepubliczne "Gumisiowy Raj" w Regułach        </v>
      </c>
      <c r="E54" s="421">
        <v>76058</v>
      </c>
      <c r="F54" s="421">
        <f>ROUNDUP('Niepubl placówki'!E11,0)</f>
        <v>139874</v>
      </c>
      <c r="G54" s="401">
        <f t="shared" si="3"/>
        <v>1.8390438875594941</v>
      </c>
      <c r="H54" s="413" t="e">
        <f>F54/#REF!</f>
        <v>#REF!</v>
      </c>
      <c r="I54" s="409">
        <f t="shared" si="2"/>
        <v>200203</v>
      </c>
      <c r="J54" s="393"/>
      <c r="K54" s="393"/>
      <c r="L54" s="393"/>
      <c r="M54" s="393"/>
      <c r="N54" s="393"/>
      <c r="O54" s="393"/>
      <c r="P54" s="393"/>
    </row>
    <row r="55" spans="1:16" ht="16.5" customHeight="1">
      <c r="A55" s="596"/>
      <c r="B55" s="595"/>
      <c r="C55" s="631"/>
      <c r="D55" s="412" t="str">
        <f>'Zbiorczo-paragr'!D192</f>
        <v>Przedszkole niepubliczne "Krokodylek" w Regułach</v>
      </c>
      <c r="E55" s="421">
        <v>310040</v>
      </c>
      <c r="F55" s="421">
        <f>ROUNDUP('Niepubl placówki'!E12+'Niepubl placówki'!E13,0)</f>
        <v>214075</v>
      </c>
      <c r="G55" s="401">
        <f t="shared" si="3"/>
        <v>0.6904754225261257</v>
      </c>
      <c r="H55" s="413" t="e">
        <f>F55/#REF!</f>
        <v>#REF!</v>
      </c>
      <c r="I55" s="409">
        <f t="shared" si="2"/>
        <v>340345</v>
      </c>
      <c r="J55" s="393"/>
      <c r="K55" s="393"/>
      <c r="L55" s="393"/>
      <c r="M55" s="393"/>
      <c r="N55" s="393"/>
      <c r="O55" s="393"/>
      <c r="P55" s="393"/>
    </row>
    <row r="56" spans="1:16" ht="16.5" customHeight="1">
      <c r="A56" s="596"/>
      <c r="B56" s="595"/>
      <c r="C56" s="631"/>
      <c r="D56" s="412" t="str">
        <f>'Zbiorczo-paragr'!D193</f>
        <v>Przedszkole niepubliczne "Krokodylek" w Regułach</v>
      </c>
      <c r="E56" s="421">
        <v>0</v>
      </c>
      <c r="F56" s="421">
        <v>0</v>
      </c>
      <c r="G56" s="401" t="e">
        <f t="shared" si="3"/>
        <v>#DIV/0!</v>
      </c>
      <c r="H56" s="413"/>
      <c r="I56" s="409"/>
      <c r="J56" s="393"/>
      <c r="K56" s="393"/>
      <c r="L56" s="393"/>
      <c r="M56" s="393"/>
      <c r="N56" s="393"/>
      <c r="O56" s="393"/>
      <c r="P56" s="393"/>
    </row>
    <row r="57" spans="1:16" ht="16.5" customHeight="1">
      <c r="A57" s="596"/>
      <c r="B57" s="595"/>
      <c r="C57" s="631"/>
      <c r="D57" s="412" t="str">
        <f>'Zbiorczo-paragr'!D194</f>
        <v>Przedszkole niepubliczne "Dobre Przedszkole" w Komorowie</v>
      </c>
      <c r="E57" s="421">
        <v>167867</v>
      </c>
      <c r="F57" s="421">
        <f>ROUNDUP('Niepubl placówki'!E14,0)</f>
        <v>189735</v>
      </c>
      <c r="G57" s="401">
        <f t="shared" si="3"/>
        <v>1.1302697969225637</v>
      </c>
      <c r="H57" s="413" t="e">
        <f>F57/#REF!</f>
        <v>#REF!</v>
      </c>
      <c r="I57" s="409">
        <f>F57+F67</f>
        <v>240243</v>
      </c>
      <c r="J57" s="393"/>
      <c r="K57" s="393"/>
      <c r="L57" s="393"/>
      <c r="M57" s="393"/>
      <c r="N57" s="393"/>
      <c r="O57" s="393"/>
      <c r="P57" s="393"/>
    </row>
    <row r="58" spans="1:16" ht="16.5" customHeight="1">
      <c r="A58" s="596"/>
      <c r="B58" s="595"/>
      <c r="C58" s="631"/>
      <c r="D58" s="412" t="str">
        <f>'Zbiorczo-paragr'!D195</f>
        <v>Przedszkole niepubliczne "Sasanka" w Nowej Wsi</v>
      </c>
      <c r="E58" s="421">
        <v>224450</v>
      </c>
      <c r="F58" s="421">
        <f>ROUNDUP('Niepubl placówki'!E15,0)</f>
        <v>196939</v>
      </c>
      <c r="G58" s="401">
        <f t="shared" si="3"/>
        <v>0.87742927155268435</v>
      </c>
      <c r="H58" s="413"/>
      <c r="I58" s="409">
        <f>F58+F68</f>
        <v>250253</v>
      </c>
      <c r="J58" s="393"/>
      <c r="K58" s="393"/>
      <c r="L58" s="393"/>
      <c r="M58" s="393"/>
      <c r="N58" s="393"/>
      <c r="O58" s="393"/>
      <c r="P58" s="393"/>
    </row>
    <row r="59" spans="1:16" ht="28.5" customHeight="1">
      <c r="A59" s="596"/>
      <c r="B59" s="595"/>
      <c r="C59" s="631"/>
      <c r="D59" s="412" t="str">
        <f>'Zbiorczo-paragr'!D196</f>
        <v xml:space="preserve">Przedszkole Niepubliczne Zgromadzenia Sióstr Misjonarek Świętej Rodziny w Komorowie- dotacja                </v>
      </c>
      <c r="E59" s="421">
        <v>206870</v>
      </c>
      <c r="F59" s="421">
        <f>ROUNDUP('Niepubl placówki'!E17,0)</f>
        <v>210450</v>
      </c>
      <c r="G59" s="401">
        <f t="shared" si="3"/>
        <v>1.0173055542127907</v>
      </c>
      <c r="H59" s="413" t="e">
        <f>F59/#REF!</f>
        <v>#REF!</v>
      </c>
      <c r="I59" s="409">
        <f>SUM(I48:I58)</f>
        <v>4164213</v>
      </c>
      <c r="J59" s="393"/>
      <c r="K59" s="393"/>
      <c r="L59" s="393"/>
      <c r="M59" s="393"/>
      <c r="N59" s="393"/>
      <c r="O59" s="393"/>
      <c r="P59" s="393"/>
    </row>
    <row r="60" spans="1:16" ht="16.5" customHeight="1">
      <c r="A60" s="596"/>
      <c r="B60" s="595"/>
      <c r="C60" s="631"/>
      <c r="D60" s="412" t="str">
        <f>'Zbiorczo-paragr'!D197</f>
        <v xml:space="preserve">Przedszkole Niepubliczne Sióstr Służebniczek NMP w Komorowie - dotacja           </v>
      </c>
      <c r="E60" s="421">
        <v>123300</v>
      </c>
      <c r="F60" s="421">
        <f>ROUNDUP('Niepubl placówki'!E18,0)</f>
        <v>133285</v>
      </c>
      <c r="G60" s="401">
        <f t="shared" si="3"/>
        <v>1.0809813463098135</v>
      </c>
      <c r="H60" s="413"/>
      <c r="I60" s="393"/>
      <c r="J60" s="393"/>
      <c r="K60" s="393"/>
      <c r="L60" s="393"/>
      <c r="M60" s="393"/>
      <c r="N60" s="393"/>
      <c r="O60" s="393"/>
      <c r="P60" s="393"/>
    </row>
    <row r="61" spans="1:16" ht="16.5" customHeight="1">
      <c r="A61" s="596"/>
      <c r="B61" s="595"/>
      <c r="C61" s="631"/>
      <c r="D61" s="412" t="str">
        <f>'Zbiorczo-paragr'!D198</f>
        <v xml:space="preserve">Prywatne Przedszkole w Michałowicach - dotacja                       </v>
      </c>
      <c r="E61" s="421">
        <v>21920</v>
      </c>
      <c r="F61" s="421">
        <f>ROUNDUP('Niepubl placówki'!E19,0)</f>
        <v>22448</v>
      </c>
      <c r="G61" s="401">
        <f t="shared" si="3"/>
        <v>1.024087591240876</v>
      </c>
      <c r="H61" s="413"/>
      <c r="I61" s="393"/>
      <c r="J61" s="393"/>
      <c r="K61" s="393"/>
      <c r="L61" s="393"/>
      <c r="M61" s="393"/>
      <c r="N61" s="393"/>
      <c r="O61" s="393"/>
      <c r="P61" s="393"/>
    </row>
    <row r="62" spans="1:16" ht="16.5" customHeight="1">
      <c r="A62" s="596"/>
      <c r="B62" s="595"/>
      <c r="C62" s="631"/>
      <c r="D62" s="412" t="str">
        <f>'Zbiorczo-paragr'!D199</f>
        <v xml:space="preserve">Przedszkole Niepubliczne "Zielone Przedszkole"Komorów-Granica - dotacja         </v>
      </c>
      <c r="E62" s="421">
        <v>123300</v>
      </c>
      <c r="F62" s="421">
        <f>ROUNDUP('Niepubl placówki'!E20,0)</f>
        <v>133285</v>
      </c>
      <c r="G62" s="401">
        <f t="shared" si="3"/>
        <v>1.0809813463098135</v>
      </c>
      <c r="H62" s="413"/>
      <c r="I62" s="393"/>
      <c r="J62" s="393"/>
      <c r="K62" s="393"/>
      <c r="L62" s="393"/>
      <c r="M62" s="393"/>
      <c r="N62" s="393"/>
      <c r="O62" s="393"/>
      <c r="P62" s="393"/>
    </row>
    <row r="63" spans="1:16" ht="16.5" customHeight="1">
      <c r="A63" s="596"/>
      <c r="B63" s="595"/>
      <c r="C63" s="631"/>
      <c r="D63" s="412" t="str">
        <f>'Zbiorczo-paragr'!D200</f>
        <v xml:space="preserve">Przedszkole niepubliczne "Bavi" w Pęcicach - dotacja         </v>
      </c>
      <c r="E63" s="421">
        <v>252070</v>
      </c>
      <c r="F63" s="421">
        <f>ROUNDUP('Niepubl placówki'!E21,0)</f>
        <v>210450</v>
      </c>
      <c r="G63" s="401">
        <f t="shared" si="3"/>
        <v>0.83488713452612373</v>
      </c>
      <c r="H63" s="413"/>
      <c r="I63" s="393"/>
      <c r="J63" s="393"/>
      <c r="K63" s="393"/>
      <c r="L63" s="393"/>
      <c r="M63" s="393"/>
      <c r="N63" s="393"/>
      <c r="O63" s="393"/>
      <c r="P63" s="393"/>
    </row>
    <row r="64" spans="1:16" ht="16.5" customHeight="1">
      <c r="A64" s="596"/>
      <c r="B64" s="595"/>
      <c r="C64" s="631"/>
      <c r="D64" s="412" t="str">
        <f>'Zbiorczo-paragr'!D201</f>
        <v xml:space="preserve">Przedszkole niepubliczne "Prestige for Kids" w Komorowie - dotacja         </v>
      </c>
      <c r="E64" s="421">
        <v>13700</v>
      </c>
      <c r="F64" s="421">
        <f>ROUNDUP('Niepubl placówki'!E22,0)</f>
        <v>28060</v>
      </c>
      <c r="G64" s="401">
        <f t="shared" si="3"/>
        <v>2.048175182481752</v>
      </c>
      <c r="H64" s="413"/>
      <c r="I64" s="393"/>
      <c r="J64" s="393"/>
      <c r="K64" s="393"/>
      <c r="L64" s="393"/>
      <c r="M64" s="393"/>
      <c r="N64" s="393"/>
      <c r="O64" s="393"/>
      <c r="P64" s="393"/>
    </row>
    <row r="65" spans="1:16" ht="16.5" customHeight="1">
      <c r="A65" s="596"/>
      <c r="B65" s="595"/>
      <c r="C65" s="631"/>
      <c r="D65" s="412" t="str">
        <f>'Zbiorczo-paragr'!D202</f>
        <v xml:space="preserve">Przedszkole niepubliczne "Gumisiowy Raj" w Regułach - dotacja         </v>
      </c>
      <c r="E65" s="421">
        <v>54800</v>
      </c>
      <c r="F65" s="421">
        <f>ROUNDUP('Niepubl placówki'!E23,0)</f>
        <v>60329</v>
      </c>
      <c r="G65" s="401">
        <f t="shared" si="3"/>
        <v>1.1008941605839415</v>
      </c>
      <c r="H65" s="413"/>
      <c r="I65" s="393"/>
      <c r="J65" s="393"/>
      <c r="K65" s="393"/>
      <c r="L65" s="393"/>
      <c r="M65" s="393"/>
      <c r="N65" s="393"/>
      <c r="O65" s="393"/>
      <c r="P65" s="393"/>
    </row>
    <row r="66" spans="1:16" ht="16.5" customHeight="1">
      <c r="A66" s="596"/>
      <c r="B66" s="595"/>
      <c r="C66" s="631"/>
      <c r="D66" s="412" t="str">
        <f>'Zbiorczo-paragr'!D203</f>
        <v xml:space="preserve">Przedszkole niepubliczne "Krokodylek" w Regułach - dotacja         </v>
      </c>
      <c r="E66" s="421">
        <v>123300</v>
      </c>
      <c r="F66" s="421">
        <f>ROUNDUP('Niepubl placówki'!E24,0)</f>
        <v>126270</v>
      </c>
      <c r="G66" s="401">
        <f t="shared" si="3"/>
        <v>1.024087591240876</v>
      </c>
      <c r="H66" s="413"/>
      <c r="I66" s="393"/>
      <c r="J66" s="393"/>
      <c r="K66" s="393"/>
      <c r="L66" s="393"/>
      <c r="M66" s="393"/>
      <c r="N66" s="393"/>
      <c r="O66" s="393"/>
      <c r="P66" s="393"/>
    </row>
    <row r="67" spans="1:16" ht="16.5" customHeight="1">
      <c r="A67" s="596"/>
      <c r="B67" s="595"/>
      <c r="C67" s="631"/>
      <c r="D67" s="412" t="str">
        <f>'Zbiorczo-paragr'!D204</f>
        <v xml:space="preserve">Przedszkole niepubliczne "Dobre Przedszkole" w Komorowie - dotacja         </v>
      </c>
      <c r="E67" s="421">
        <v>79200</v>
      </c>
      <c r="F67" s="421">
        <f>ROUNDUP('Niepubl placówki'!E25,0)</f>
        <v>50508</v>
      </c>
      <c r="G67" s="401">
        <f t="shared" si="3"/>
        <v>0.6377272727272727</v>
      </c>
      <c r="H67" s="413"/>
      <c r="I67" s="409"/>
      <c r="J67" s="393"/>
      <c r="K67" s="393"/>
      <c r="L67" s="393"/>
      <c r="M67" s="393"/>
      <c r="N67" s="393"/>
      <c r="O67" s="393"/>
      <c r="P67" s="393"/>
    </row>
    <row r="68" spans="1:16" ht="16.5" customHeight="1">
      <c r="A68" s="596"/>
      <c r="B68" s="595"/>
      <c r="C68" s="631"/>
      <c r="D68" s="412" t="str">
        <f>'Zbiorczo-paragr'!D205</f>
        <v xml:space="preserve">Przedszkole niepubliczne "Sasanka" w Nowej Wsi - dotacja         </v>
      </c>
      <c r="E68" s="421">
        <v>40000</v>
      </c>
      <c r="F68" s="421">
        <f>ROUNDUP('Niepubl placówki'!E26,0)</f>
        <v>53314</v>
      </c>
      <c r="G68" s="401">
        <f t="shared" si="3"/>
        <v>1.3328500000000001</v>
      </c>
      <c r="H68" s="413"/>
      <c r="I68" s="393"/>
      <c r="J68" s="393"/>
      <c r="K68" s="393"/>
      <c r="L68" s="393"/>
      <c r="M68" s="393"/>
      <c r="N68" s="393"/>
      <c r="O68" s="393"/>
      <c r="P68" s="393"/>
    </row>
    <row r="69" spans="1:16" ht="30.75" customHeight="1">
      <c r="A69" s="596"/>
      <c r="B69" s="595"/>
      <c r="C69" s="594">
        <v>2310</v>
      </c>
      <c r="D69" s="412" t="str">
        <f>'Zbiorczo-paragr'!D206</f>
        <v>Dotacje celowe otrzymane z gminy na zadania bieżące realizowane na podstawie porozumień (umów) między jednostkami samorządu terytorialnego</v>
      </c>
      <c r="E69" s="400">
        <f>SUM(E70:E81)</f>
        <v>849700</v>
      </c>
      <c r="F69" s="400">
        <f>SUM(F70:F82)</f>
        <v>1015920</v>
      </c>
      <c r="G69" s="401">
        <f t="shared" si="3"/>
        <v>1.1956219842297282</v>
      </c>
      <c r="H69" s="413" t="e">
        <f>F69/#REF!</f>
        <v>#REF!</v>
      </c>
      <c r="I69" s="418"/>
      <c r="J69" s="393"/>
      <c r="K69" s="393"/>
      <c r="L69" s="393"/>
      <c r="M69" s="393"/>
      <c r="N69" s="393"/>
      <c r="O69" s="393"/>
      <c r="P69" s="393"/>
    </row>
    <row r="70" spans="1:16" ht="17.25" customHeight="1">
      <c r="A70" s="596"/>
      <c r="B70" s="595"/>
      <c r="C70" s="596"/>
      <c r="D70" s="412" t="s">
        <v>588</v>
      </c>
      <c r="E70" s="423">
        <v>467495</v>
      </c>
      <c r="F70" s="423">
        <f>SUM('Niepubl placówki'!E28)</f>
        <v>526800</v>
      </c>
      <c r="G70" s="401">
        <f t="shared" si="3"/>
        <v>1.126856971732318</v>
      </c>
      <c r="H70" s="413"/>
      <c r="I70" s="418"/>
      <c r="J70" s="393"/>
      <c r="K70" s="393"/>
      <c r="L70" s="393"/>
      <c r="M70" s="393"/>
      <c r="N70" s="393"/>
      <c r="O70" s="393"/>
      <c r="P70" s="393"/>
    </row>
    <row r="71" spans="1:16" ht="19.5" customHeight="1">
      <c r="A71" s="596"/>
      <c r="B71" s="595"/>
      <c r="C71" s="596"/>
      <c r="D71" s="412" t="s">
        <v>589</v>
      </c>
      <c r="E71" s="423">
        <v>228000</v>
      </c>
      <c r="F71" s="423">
        <f>SUM('Niepubl placówki'!E29)</f>
        <v>262800</v>
      </c>
      <c r="G71" s="401">
        <f t="shared" si="3"/>
        <v>1.1526315789473685</v>
      </c>
      <c r="H71" s="413"/>
      <c r="I71" s="418"/>
      <c r="J71" s="393"/>
      <c r="K71" s="393"/>
      <c r="L71" s="393"/>
      <c r="M71" s="393"/>
      <c r="N71" s="393"/>
      <c r="O71" s="393"/>
      <c r="P71" s="393"/>
    </row>
    <row r="72" spans="1:16" ht="18" customHeight="1">
      <c r="A72" s="596"/>
      <c r="B72" s="595"/>
      <c r="C72" s="596"/>
      <c r="D72" s="412" t="s">
        <v>590</v>
      </c>
      <c r="E72" s="423">
        <v>12960</v>
      </c>
      <c r="F72" s="423">
        <f>SUM('Niepubl placówki'!E30)</f>
        <v>21600</v>
      </c>
      <c r="G72" s="401">
        <f t="shared" si="3"/>
        <v>1.6666666666666667</v>
      </c>
      <c r="H72" s="413"/>
      <c r="I72" s="418"/>
      <c r="J72" s="393"/>
      <c r="K72" s="393"/>
      <c r="L72" s="393"/>
      <c r="M72" s="393"/>
      <c r="N72" s="393"/>
      <c r="O72" s="393"/>
      <c r="P72" s="393"/>
    </row>
    <row r="73" spans="1:16" ht="20.25" customHeight="1">
      <c r="A73" s="596"/>
      <c r="B73" s="595"/>
      <c r="C73" s="596"/>
      <c r="D73" s="412" t="s">
        <v>591</v>
      </c>
      <c r="E73" s="423">
        <v>30240</v>
      </c>
      <c r="F73" s="423">
        <f>SUM('Niepubl placówki'!E31)</f>
        <v>92160</v>
      </c>
      <c r="G73" s="401">
        <f t="shared" si="3"/>
        <v>3.0476190476190474</v>
      </c>
      <c r="H73" s="413"/>
      <c r="I73" s="418"/>
      <c r="J73" s="393"/>
      <c r="K73" s="393"/>
      <c r="L73" s="393"/>
      <c r="M73" s="393"/>
      <c r="N73" s="393"/>
      <c r="O73" s="393"/>
      <c r="P73" s="393"/>
    </row>
    <row r="74" spans="1:16" ht="21" customHeight="1">
      <c r="A74" s="596"/>
      <c r="B74" s="595"/>
      <c r="C74" s="596"/>
      <c r="D74" s="412" t="s">
        <v>592</v>
      </c>
      <c r="E74" s="423">
        <v>32640</v>
      </c>
      <c r="F74" s="423">
        <f>SUM('Niepubl placówki'!E32)</f>
        <v>33120</v>
      </c>
      <c r="G74" s="401">
        <f t="shared" si="3"/>
        <v>1.0147058823529411</v>
      </c>
      <c r="H74" s="413"/>
      <c r="I74" s="418"/>
      <c r="J74" s="393"/>
      <c r="K74" s="393"/>
      <c r="L74" s="393"/>
      <c r="M74" s="393"/>
      <c r="N74" s="393"/>
      <c r="O74" s="393"/>
      <c r="P74" s="393"/>
    </row>
    <row r="75" spans="1:16" ht="19.5" customHeight="1">
      <c r="A75" s="596"/>
      <c r="B75" s="595"/>
      <c r="C75" s="596"/>
      <c r="D75" s="412" t="s">
        <v>593</v>
      </c>
      <c r="E75" s="423">
        <v>38240</v>
      </c>
      <c r="F75" s="423">
        <f>SUM('Niepubl placówki'!E33)</f>
        <v>54600</v>
      </c>
      <c r="G75" s="401">
        <f t="shared" si="3"/>
        <v>1.4278242677824269</v>
      </c>
      <c r="H75" s="413"/>
      <c r="I75" s="418"/>
      <c r="J75" s="393"/>
      <c r="K75" s="393"/>
      <c r="L75" s="393"/>
      <c r="M75" s="393"/>
      <c r="N75" s="393"/>
      <c r="O75" s="393"/>
      <c r="P75" s="393"/>
    </row>
    <row r="76" spans="1:16" ht="19.5" customHeight="1">
      <c r="A76" s="596"/>
      <c r="B76" s="595"/>
      <c r="C76" s="596"/>
      <c r="D76" s="412" t="s">
        <v>594</v>
      </c>
      <c r="E76" s="423">
        <v>5400</v>
      </c>
      <c r="F76" s="423">
        <f>SUM('Niepubl placówki'!E34)</f>
        <v>0</v>
      </c>
      <c r="G76" s="401">
        <f t="shared" ref="G76:G82" si="4">SUM(F76/E76)</f>
        <v>0</v>
      </c>
      <c r="H76" s="413"/>
      <c r="I76" s="418"/>
      <c r="J76" s="393"/>
      <c r="K76" s="393"/>
      <c r="L76" s="393"/>
      <c r="M76" s="393"/>
      <c r="N76" s="393"/>
      <c r="O76" s="393"/>
      <c r="P76" s="393"/>
    </row>
    <row r="77" spans="1:16" ht="19.5" customHeight="1">
      <c r="A77" s="596"/>
      <c r="B77" s="595"/>
      <c r="C77" s="596"/>
      <c r="D77" s="412" t="s">
        <v>595</v>
      </c>
      <c r="E77" s="423">
        <v>12000</v>
      </c>
      <c r="F77" s="423">
        <f>SUM('Niepubl placówki'!E35)</f>
        <v>6000</v>
      </c>
      <c r="G77" s="401">
        <f t="shared" si="4"/>
        <v>0.5</v>
      </c>
      <c r="H77" s="413"/>
      <c r="I77" s="418"/>
      <c r="J77" s="393"/>
      <c r="K77" s="393"/>
      <c r="L77" s="393"/>
      <c r="M77" s="393"/>
      <c r="N77" s="393"/>
      <c r="O77" s="393"/>
      <c r="P77" s="393"/>
    </row>
    <row r="78" spans="1:16" ht="19.5" customHeight="1">
      <c r="A78" s="596"/>
      <c r="B78" s="595"/>
      <c r="C78" s="596"/>
      <c r="D78" s="412" t="s">
        <v>596</v>
      </c>
      <c r="E78" s="423">
        <v>7500</v>
      </c>
      <c r="F78" s="423">
        <f>SUM('Niepubl placówki'!E36)</f>
        <v>15000</v>
      </c>
      <c r="G78" s="401">
        <f t="shared" si="4"/>
        <v>2</v>
      </c>
      <c r="H78" s="413"/>
      <c r="I78" s="418"/>
      <c r="J78" s="393"/>
      <c r="K78" s="393"/>
      <c r="L78" s="393"/>
      <c r="M78" s="393"/>
      <c r="N78" s="393"/>
      <c r="O78" s="393"/>
      <c r="P78" s="393"/>
    </row>
    <row r="79" spans="1:16" ht="19.5" customHeight="1">
      <c r="A79" s="596"/>
      <c r="B79" s="595"/>
      <c r="C79" s="419"/>
      <c r="D79" s="412" t="s">
        <v>606</v>
      </c>
      <c r="E79" s="423">
        <v>7680</v>
      </c>
      <c r="F79" s="423">
        <f>SUM('Niepubl placówki'!E37)</f>
        <v>0</v>
      </c>
      <c r="G79" s="401">
        <f t="shared" si="4"/>
        <v>0</v>
      </c>
      <c r="H79" s="413"/>
      <c r="I79" s="418"/>
      <c r="J79" s="393"/>
      <c r="K79" s="393"/>
      <c r="L79" s="393"/>
      <c r="M79" s="393"/>
      <c r="N79" s="393"/>
      <c r="O79" s="393"/>
      <c r="P79" s="393"/>
    </row>
    <row r="80" spans="1:16" ht="19.5" customHeight="1">
      <c r="A80" s="596"/>
      <c r="B80" s="595"/>
      <c r="C80" s="419"/>
      <c r="D80" s="27" t="s">
        <v>701</v>
      </c>
      <c r="E80" s="423">
        <v>705</v>
      </c>
      <c r="F80" s="423">
        <v>0</v>
      </c>
      <c r="G80" s="401">
        <f t="shared" si="4"/>
        <v>0</v>
      </c>
      <c r="H80" s="413"/>
      <c r="I80" s="418"/>
      <c r="J80" s="393"/>
      <c r="K80" s="393"/>
      <c r="L80" s="393"/>
      <c r="M80" s="393"/>
      <c r="N80" s="393"/>
      <c r="O80" s="393"/>
      <c r="P80" s="393"/>
    </row>
    <row r="81" spans="1:16" ht="19.5" customHeight="1">
      <c r="A81" s="596"/>
      <c r="B81" s="595"/>
      <c r="C81" s="419"/>
      <c r="D81" s="27" t="s">
        <v>702</v>
      </c>
      <c r="E81" s="423">
        <v>6840</v>
      </c>
      <c r="F81" s="423">
        <v>0</v>
      </c>
      <c r="G81" s="401">
        <f t="shared" si="4"/>
        <v>0</v>
      </c>
      <c r="H81" s="413"/>
      <c r="I81" s="418"/>
      <c r="J81" s="393"/>
      <c r="K81" s="393"/>
      <c r="L81" s="393"/>
      <c r="M81" s="393"/>
      <c r="N81" s="393"/>
      <c r="O81" s="393"/>
      <c r="P81" s="393"/>
    </row>
    <row r="82" spans="1:16" ht="19.5" customHeight="1">
      <c r="A82" s="596"/>
      <c r="B82" s="595"/>
      <c r="C82" s="419"/>
      <c r="D82" s="27" t="str">
        <f>'Zbiorczo-paragr'!D219</f>
        <v>Nauka języka ukraińskiego przy szkole nr 221 w Warszawie</v>
      </c>
      <c r="E82" s="423">
        <v>0</v>
      </c>
      <c r="F82" s="423">
        <f>160*12*2</f>
        <v>3840</v>
      </c>
      <c r="G82" s="401" t="e">
        <f t="shared" si="4"/>
        <v>#DIV/0!</v>
      </c>
      <c r="H82" s="413"/>
      <c r="I82" s="418"/>
      <c r="J82" s="393"/>
      <c r="K82" s="393"/>
      <c r="L82" s="393"/>
      <c r="M82" s="393"/>
      <c r="N82" s="393"/>
      <c r="O82" s="393"/>
      <c r="P82" s="393"/>
    </row>
    <row r="83" spans="1:16" ht="30.75" customHeight="1">
      <c r="A83" s="596"/>
      <c r="B83" s="595"/>
      <c r="C83" s="412">
        <v>4330</v>
      </c>
      <c r="D83" s="412" t="str">
        <f>'Zbiorczo-paragr'!D220</f>
        <v>Zakup usług przez jednostki samorządu terytorialnego od innych jednostek samorządu terytorialnego</v>
      </c>
      <c r="E83" s="423">
        <f>E84</f>
        <v>20000</v>
      </c>
      <c r="F83" s="423">
        <f>F84</f>
        <v>80000</v>
      </c>
      <c r="G83" s="401">
        <f t="shared" si="3"/>
        <v>4</v>
      </c>
      <c r="H83" s="413"/>
      <c r="I83" s="418"/>
      <c r="J83" s="393"/>
      <c r="K83" s="393"/>
      <c r="L83" s="393"/>
      <c r="M83" s="393"/>
      <c r="N83" s="393"/>
      <c r="O83" s="393"/>
      <c r="P83" s="393"/>
    </row>
    <row r="84" spans="1:16" ht="30" customHeight="1">
      <c r="A84" s="596"/>
      <c r="B84" s="595"/>
      <c r="C84" s="424"/>
      <c r="D84" s="412" t="str">
        <f>'Zbiorczo-paragr'!D221</f>
        <v>Refundacja kosztów ponoszonych przez inne gminy za pobyt dzieci w przedszkolach publicznych</v>
      </c>
      <c r="E84" s="400">
        <v>20000</v>
      </c>
      <c r="F84" s="400">
        <v>80000</v>
      </c>
      <c r="G84" s="401">
        <f t="shared" si="3"/>
        <v>4</v>
      </c>
      <c r="H84" s="413" t="e">
        <f>F84/#REF!</f>
        <v>#REF!</v>
      </c>
      <c r="I84" s="393"/>
      <c r="J84" s="393"/>
      <c r="K84" s="393"/>
      <c r="L84" s="393"/>
      <c r="M84" s="393"/>
      <c r="N84" s="393"/>
      <c r="O84" s="393"/>
      <c r="P84" s="393"/>
    </row>
    <row r="85" spans="1:16" ht="17.25" customHeight="1">
      <c r="A85" s="610" t="str">
        <f>'Zbiorczo-paragr'!A222:D222</f>
        <v>80104 Przedszkola (niepubliczne) : Razem</v>
      </c>
      <c r="B85" s="611"/>
      <c r="C85" s="611"/>
      <c r="D85" s="611"/>
      <c r="E85" s="407">
        <f>SUM(E47+E69+E83)</f>
        <v>4778243</v>
      </c>
      <c r="F85" s="407">
        <f>SUM(F47+F69+F83)</f>
        <v>5260133</v>
      </c>
      <c r="G85" s="408">
        <f t="shared" si="3"/>
        <v>1.1008508776133821</v>
      </c>
      <c r="H85" s="413" t="e">
        <f>F85/#REF!</f>
        <v>#REF!</v>
      </c>
      <c r="I85" s="393"/>
      <c r="J85" s="418"/>
      <c r="K85" s="418"/>
      <c r="L85" s="393"/>
      <c r="M85" s="393"/>
      <c r="N85" s="393"/>
      <c r="O85" s="393"/>
      <c r="P85" s="393"/>
    </row>
    <row r="86" spans="1:16" ht="14.25" customHeight="1">
      <c r="A86" s="594">
        <v>801</v>
      </c>
      <c r="B86" s="594">
        <v>80106</v>
      </c>
      <c r="C86" s="630">
        <v>2540</v>
      </c>
      <c r="D86" s="410" t="str">
        <f>'Zbiorczo-paragr'!D292</f>
        <v>Dotacja podmiot.z budżetu dla niepublicznej jednostki systemu oświaty</v>
      </c>
      <c r="E86" s="411">
        <f>SUM(E87:E102)</f>
        <v>426377</v>
      </c>
      <c r="F86" s="411">
        <f>SUM(F87:F102)</f>
        <v>453795</v>
      </c>
      <c r="G86" s="401">
        <f t="shared" si="3"/>
        <v>1.0643045942909679</v>
      </c>
      <c r="H86" s="413" t="e">
        <f>F86/#REF!</f>
        <v>#REF!</v>
      </c>
      <c r="I86" s="418"/>
      <c r="J86" s="418"/>
      <c r="K86" s="393"/>
      <c r="L86" s="393"/>
      <c r="M86" s="393"/>
      <c r="N86" s="393"/>
      <c r="O86" s="393"/>
      <c r="P86" s="393"/>
    </row>
    <row r="87" spans="1:16" ht="17.25" customHeight="1">
      <c r="A87" s="596"/>
      <c r="B87" s="595"/>
      <c r="C87" s="631"/>
      <c r="D87" s="410" t="str">
        <f>'Zbiorczo-paragr'!D293</f>
        <v>Punk Przedszkolny "Antoś" w Michałowicach</v>
      </c>
      <c r="E87" s="425">
        <v>87480</v>
      </c>
      <c r="F87" s="425">
        <f>ROUNDUP('Niepubl placówki'!E45,0)</f>
        <v>112114</v>
      </c>
      <c r="G87" s="422">
        <f t="shared" si="3"/>
        <v>1.2815957933241884</v>
      </c>
      <c r="H87" s="426" t="e">
        <f>F87/#REF!</f>
        <v>#REF!</v>
      </c>
      <c r="I87" s="393"/>
      <c r="J87" s="393"/>
      <c r="K87" s="393"/>
      <c r="L87" s="393"/>
      <c r="M87" s="393"/>
      <c r="N87" s="393"/>
      <c r="O87" s="393"/>
      <c r="P87" s="393"/>
    </row>
    <row r="88" spans="1:16" ht="17.25" customHeight="1">
      <c r="A88" s="596"/>
      <c r="B88" s="595"/>
      <c r="C88" s="631"/>
      <c r="D88" s="410" t="str">
        <f>'Zbiorczo-paragr'!D294</f>
        <v>Punk Przedszkolny "Misie Patysie" w Nowej Wsi</v>
      </c>
      <c r="E88" s="425">
        <v>67250</v>
      </c>
      <c r="F88" s="425">
        <f>ROUNDUP('Niepubl placówki'!E46,0)</f>
        <v>80081</v>
      </c>
      <c r="G88" s="401">
        <f t="shared" ref="G88:G93" si="5">SUM(F88/E88)</f>
        <v>1.1907955390334573</v>
      </c>
      <c r="H88" s="413" t="e">
        <f>F88/#REF!</f>
        <v>#REF!</v>
      </c>
      <c r="I88" s="393"/>
      <c r="J88" s="393"/>
      <c r="K88" s="393"/>
      <c r="L88" s="393"/>
      <c r="M88" s="393"/>
      <c r="N88" s="393"/>
      <c r="O88" s="393"/>
      <c r="P88" s="393"/>
    </row>
    <row r="89" spans="1:16" ht="17.25" customHeight="1">
      <c r="A89" s="596"/>
      <c r="B89" s="595"/>
      <c r="C89" s="631"/>
      <c r="D89" s="410" t="str">
        <f>'Zbiorczo-paragr'!D295</f>
        <v>Punk Przedszkolny Integracyjny "Słoneczna Kraina" w Nowej Wsi</v>
      </c>
      <c r="E89" s="425">
        <v>69063</v>
      </c>
      <c r="F89" s="425">
        <f>ROUNDUP('Niepubl placówki'!E47,0)</f>
        <v>53388</v>
      </c>
      <c r="G89" s="422">
        <f t="shared" si="5"/>
        <v>0.7730333174058468</v>
      </c>
      <c r="H89" s="426" t="e">
        <f>F89/#REF!</f>
        <v>#REF!</v>
      </c>
      <c r="I89" s="393"/>
      <c r="J89" s="393"/>
      <c r="K89" s="393"/>
      <c r="L89" s="393"/>
      <c r="M89" s="393"/>
      <c r="N89" s="393"/>
      <c r="O89" s="393"/>
      <c r="P89" s="393"/>
    </row>
    <row r="90" spans="1:16" ht="17.25" customHeight="1">
      <c r="A90" s="596"/>
      <c r="B90" s="595"/>
      <c r="C90" s="631"/>
      <c r="D90" s="410" t="str">
        <f>'Zbiorczo-paragr'!D296</f>
        <v>Punk Przedszkolny "Słoneczna Kraina" w Komorowie</v>
      </c>
      <c r="E90" s="425">
        <v>69063</v>
      </c>
      <c r="F90" s="425">
        <f>ROUNDUP('Niepubl placówki'!E48,0)</f>
        <v>48049</v>
      </c>
      <c r="G90" s="422">
        <f t="shared" si="5"/>
        <v>0.69572708975862618</v>
      </c>
      <c r="H90" s="426" t="e">
        <f>F90/#REF!</f>
        <v>#REF!</v>
      </c>
      <c r="I90" s="393"/>
      <c r="J90" s="393"/>
      <c r="K90" s="393"/>
      <c r="L90" s="393"/>
      <c r="M90" s="393"/>
      <c r="N90" s="393"/>
      <c r="O90" s="393"/>
      <c r="P90" s="393"/>
    </row>
    <row r="91" spans="1:16" ht="17.25" customHeight="1">
      <c r="A91" s="596"/>
      <c r="B91" s="595"/>
      <c r="C91" s="631"/>
      <c r="D91" s="417" t="str">
        <f>'Zbiorczo-paragr'!D297</f>
        <v>Punk Przedszkolny "Adaś" w Michałowicach</v>
      </c>
      <c r="E91" s="425">
        <v>78271</v>
      </c>
      <c r="F91" s="425">
        <f>ROUNDUP('Niepubl placówki'!E49,0)</f>
        <v>96098</v>
      </c>
      <c r="G91" s="422">
        <f t="shared" si="5"/>
        <v>1.2277599621826729</v>
      </c>
      <c r="H91" s="426" t="e">
        <f>F91/#REF!</f>
        <v>#REF!</v>
      </c>
      <c r="I91" s="393"/>
      <c r="J91" s="393"/>
      <c r="K91" s="393"/>
      <c r="L91" s="393"/>
      <c r="M91" s="393"/>
      <c r="N91" s="393"/>
      <c r="O91" s="393"/>
      <c r="P91" s="393"/>
    </row>
    <row r="92" spans="1:16" ht="17.25" customHeight="1">
      <c r="A92" s="596"/>
      <c r="B92" s="595"/>
      <c r="C92" s="631"/>
      <c r="D92" s="417" t="str">
        <f>'Zbiorczo-paragr'!D298</f>
        <v>Punkt Przedszkolny inspirowany pedagogiką Waldorfską w Komorowie</v>
      </c>
      <c r="E92" s="425">
        <v>55250</v>
      </c>
      <c r="F92" s="425">
        <f>ROUNDUP('Niepubl placówki'!E50,0)</f>
        <v>64065</v>
      </c>
      <c r="G92" s="422">
        <f t="shared" si="5"/>
        <v>1.1595475113122171</v>
      </c>
      <c r="H92" s="427"/>
      <c r="I92" s="393"/>
      <c r="J92" s="393"/>
      <c r="K92" s="393"/>
      <c r="L92" s="393"/>
      <c r="M92" s="393"/>
      <c r="N92" s="393"/>
      <c r="O92" s="393"/>
      <c r="P92" s="393"/>
    </row>
    <row r="93" spans="1:16" ht="17.25" hidden="1" customHeight="1">
      <c r="A93" s="596"/>
      <c r="B93" s="595"/>
      <c r="C93" s="631"/>
      <c r="D93" s="417" t="str">
        <f>'Zbiorczo-paragr'!D299</f>
        <v xml:space="preserve">Punk przedszkolny terapeutyczny "Pierwsze kroki" w Regułach </v>
      </c>
      <c r="E93" s="425">
        <v>0</v>
      </c>
      <c r="F93" s="425">
        <f>ROUNDUP('Niepubl placówki'!E51,0)</f>
        <v>0</v>
      </c>
      <c r="G93" s="422" t="e">
        <f t="shared" si="5"/>
        <v>#DIV/0!</v>
      </c>
      <c r="H93" s="427"/>
      <c r="I93" s="393"/>
      <c r="J93" s="393"/>
      <c r="K93" s="393"/>
      <c r="L93" s="393"/>
      <c r="M93" s="393"/>
      <c r="N93" s="393"/>
      <c r="O93" s="393"/>
      <c r="P93" s="393"/>
    </row>
    <row r="94" spans="1:16" ht="17.25" hidden="1" customHeight="1">
      <c r="A94" s="596"/>
      <c r="B94" s="595"/>
      <c r="C94" s="631"/>
      <c r="D94" s="417" t="str">
        <f>'Zbiorczo-paragr'!D300</f>
        <v>Punk Przedszkolny "Antoś" w Michałowicach - dotacja</v>
      </c>
      <c r="E94" s="425">
        <v>0</v>
      </c>
      <c r="F94" s="425">
        <f>ROUNDUP('Niepubl placówki'!E52,0)</f>
        <v>0</v>
      </c>
      <c r="G94" s="422" t="e">
        <f t="shared" ref="G94:G102" si="6">SUM(F94/E94)</f>
        <v>#DIV/0!</v>
      </c>
      <c r="H94" s="427"/>
      <c r="I94" s="393"/>
      <c r="J94" s="393"/>
      <c r="K94" s="393"/>
      <c r="L94" s="393"/>
      <c r="M94" s="393"/>
      <c r="N94" s="393"/>
      <c r="O94" s="393"/>
      <c r="P94" s="393"/>
    </row>
    <row r="95" spans="1:16" ht="17.25" hidden="1" customHeight="1">
      <c r="A95" s="596"/>
      <c r="B95" s="595"/>
      <c r="C95" s="631"/>
      <c r="D95" s="417" t="str">
        <f>'Zbiorczo-paragr'!D301</f>
        <v>Punkt Przedszkolny "Smyki" w Komorowie - dotacja</v>
      </c>
      <c r="E95" s="425">
        <v>0</v>
      </c>
      <c r="F95" s="425">
        <f>ROUNDUP('Niepubl placówki'!E53,0)</f>
        <v>0</v>
      </c>
      <c r="G95" s="422" t="e">
        <f t="shared" si="6"/>
        <v>#DIV/0!</v>
      </c>
      <c r="H95" s="427"/>
      <c r="I95" s="393"/>
      <c r="J95" s="393"/>
      <c r="K95" s="393"/>
      <c r="L95" s="393"/>
      <c r="M95" s="393"/>
      <c r="N95" s="393"/>
      <c r="O95" s="393"/>
      <c r="P95" s="393"/>
    </row>
    <row r="96" spans="1:16" ht="17.25" hidden="1" customHeight="1">
      <c r="A96" s="596"/>
      <c r="B96" s="595"/>
      <c r="C96" s="631"/>
      <c r="D96" s="417" t="str">
        <f>'Zbiorczo-paragr'!D302</f>
        <v>Punk Przedszkolny "Misie Patysie" w Nowej Wsi - dotacja</v>
      </c>
      <c r="E96" s="425">
        <v>0</v>
      </c>
      <c r="F96" s="425">
        <f>ROUNDUP('Niepubl placówki'!E54,0)</f>
        <v>0</v>
      </c>
      <c r="G96" s="422" t="e">
        <f t="shared" si="6"/>
        <v>#DIV/0!</v>
      </c>
      <c r="H96" s="427"/>
      <c r="I96" s="393"/>
      <c r="J96" s="393"/>
      <c r="K96" s="393"/>
      <c r="L96" s="393"/>
      <c r="M96" s="393"/>
      <c r="N96" s="393"/>
      <c r="O96" s="393"/>
      <c r="P96" s="393"/>
    </row>
    <row r="97" spans="1:16" ht="17.25" hidden="1" customHeight="1">
      <c r="A97" s="596"/>
      <c r="B97" s="595"/>
      <c r="C97" s="631"/>
      <c r="D97" s="417" t="str">
        <f>'Zbiorczo-paragr'!D303</f>
        <v>Punk Przedszkolny Integracyjny "Słoneczna Kraina" w Nowej Wsi - dotacja</v>
      </c>
      <c r="E97" s="425">
        <v>0</v>
      </c>
      <c r="F97" s="425">
        <f>ROUNDUP('Niepubl placówki'!E55,0)</f>
        <v>0</v>
      </c>
      <c r="G97" s="422" t="e">
        <f t="shared" si="6"/>
        <v>#DIV/0!</v>
      </c>
      <c r="H97" s="427"/>
      <c r="I97" s="393"/>
      <c r="J97" s="393"/>
      <c r="K97" s="393"/>
      <c r="L97" s="393"/>
      <c r="M97" s="393"/>
      <c r="N97" s="393"/>
      <c r="O97" s="393"/>
      <c r="P97" s="393"/>
    </row>
    <row r="98" spans="1:16" ht="17.25" hidden="1" customHeight="1">
      <c r="A98" s="596"/>
      <c r="B98" s="595"/>
      <c r="C98" s="631"/>
      <c r="D98" s="417" t="str">
        <f>'Zbiorczo-paragr'!D304</f>
        <v>Punk Przedszkolny "Słoneczna Kraina" w Komorowie - dotacja</v>
      </c>
      <c r="E98" s="425">
        <v>0</v>
      </c>
      <c r="F98" s="425">
        <f>ROUNDUP('Niepubl placówki'!E56,0)</f>
        <v>0</v>
      </c>
      <c r="G98" s="422" t="e">
        <f t="shared" si="6"/>
        <v>#DIV/0!</v>
      </c>
      <c r="H98" s="427"/>
      <c r="I98" s="393"/>
      <c r="J98" s="393"/>
      <c r="K98" s="393"/>
      <c r="L98" s="393"/>
      <c r="M98" s="393"/>
      <c r="N98" s="393"/>
      <c r="O98" s="393"/>
      <c r="P98" s="393"/>
    </row>
    <row r="99" spans="1:16" ht="17.25" hidden="1" customHeight="1">
      <c r="A99" s="596"/>
      <c r="B99" s="595"/>
      <c r="C99" s="631"/>
      <c r="D99" s="417" t="str">
        <f>'Zbiorczo-paragr'!D305</f>
        <v>Punk Przedszkolny "Sasanka" w Nowej Wsi - dotacja</v>
      </c>
      <c r="E99" s="425">
        <v>0</v>
      </c>
      <c r="F99" s="425">
        <f>ROUNDUP('Niepubl placówki'!E57,0)</f>
        <v>0</v>
      </c>
      <c r="G99" s="422" t="e">
        <f t="shared" si="6"/>
        <v>#DIV/0!</v>
      </c>
      <c r="H99" s="427"/>
      <c r="I99" s="393"/>
      <c r="J99" s="393"/>
      <c r="K99" s="393"/>
      <c r="L99" s="393"/>
      <c r="M99" s="393"/>
      <c r="N99" s="393"/>
      <c r="O99" s="393"/>
      <c r="P99" s="393"/>
    </row>
    <row r="100" spans="1:16" ht="17.25" hidden="1" customHeight="1">
      <c r="A100" s="596"/>
      <c r="B100" s="595"/>
      <c r="C100" s="631"/>
      <c r="D100" s="417" t="str">
        <f>'Zbiorczo-paragr'!D306</f>
        <v>Punk Przedszkolny "Adaś" w Michałowicach - dotacja</v>
      </c>
      <c r="E100" s="425">
        <v>0</v>
      </c>
      <c r="F100" s="425">
        <f>ROUNDUP('Niepubl placówki'!E58,0)</f>
        <v>0</v>
      </c>
      <c r="G100" s="422" t="e">
        <f t="shared" si="6"/>
        <v>#DIV/0!</v>
      </c>
      <c r="H100" s="427"/>
      <c r="I100" s="393"/>
      <c r="J100" s="393"/>
      <c r="K100" s="393"/>
      <c r="L100" s="393"/>
      <c r="M100" s="393"/>
      <c r="N100" s="393"/>
      <c r="O100" s="393"/>
      <c r="P100" s="393"/>
    </row>
    <row r="101" spans="1:16" ht="17.25" hidden="1" customHeight="1">
      <c r="A101" s="596"/>
      <c r="B101" s="595"/>
      <c r="C101" s="631"/>
      <c r="D101" s="417" t="str">
        <f>'Zbiorczo-paragr'!D307</f>
        <v xml:space="preserve">Punkt Przedszkolny inspirowany pedagogiką Waldorfską w Komorowie- dotacje </v>
      </c>
      <c r="E101" s="425">
        <v>0</v>
      </c>
      <c r="F101" s="425">
        <f>ROUNDUP('Niepubl placówki'!E59,0)</f>
        <v>0</v>
      </c>
      <c r="G101" s="422" t="e">
        <f t="shared" si="6"/>
        <v>#DIV/0!</v>
      </c>
      <c r="H101" s="427"/>
      <c r="I101" s="393"/>
      <c r="J101" s="393"/>
      <c r="K101" s="393"/>
      <c r="L101" s="393"/>
      <c r="M101" s="393"/>
      <c r="N101" s="393"/>
      <c r="O101" s="393"/>
      <c r="P101" s="393"/>
    </row>
    <row r="102" spans="1:16" ht="17.25" hidden="1" customHeight="1">
      <c r="A102" s="596"/>
      <c r="B102" s="595"/>
      <c r="C102" s="632"/>
      <c r="D102" s="417" t="str">
        <f>'Zbiorczo-paragr'!D308</f>
        <v xml:space="preserve">Punk przedszkolny terapeutyczny "Pierwsze kroki" w Regułach - dotacje </v>
      </c>
      <c r="E102" s="425">
        <v>0</v>
      </c>
      <c r="F102" s="425">
        <f>ROUNDUP('Niepubl placówki'!E60,0)</f>
        <v>0</v>
      </c>
      <c r="G102" s="422" t="e">
        <f t="shared" si="6"/>
        <v>#DIV/0!</v>
      </c>
      <c r="H102" s="427"/>
      <c r="I102" s="393"/>
      <c r="J102" s="393"/>
      <c r="K102" s="393"/>
      <c r="L102" s="393"/>
      <c r="M102" s="393"/>
      <c r="N102" s="393"/>
      <c r="O102" s="393"/>
      <c r="P102" s="393"/>
    </row>
    <row r="103" spans="1:16" ht="30" customHeight="1">
      <c r="A103" s="596"/>
      <c r="B103" s="595"/>
      <c r="C103" s="594">
        <v>2310</v>
      </c>
      <c r="D103" s="417" t="str">
        <f>'Zbiorczo-paragr'!D309</f>
        <v>Dotacje celowe otrzymane z gminy na zadania bieżące realizowane na podstawie porozumień (umów) między jednostkami samorządu terytorialnego</v>
      </c>
      <c r="E103" s="411">
        <f>SUM(E104:E108)</f>
        <v>65760</v>
      </c>
      <c r="F103" s="411">
        <f>SUM(F104:F108)</f>
        <v>68520</v>
      </c>
      <c r="G103" s="422">
        <f t="shared" ref="G103:G108" si="7">SUM(F103/E103)</f>
        <v>1.0419708029197081</v>
      </c>
      <c r="H103" s="428"/>
      <c r="I103" s="393"/>
      <c r="J103" s="418"/>
      <c r="K103" s="393"/>
      <c r="L103" s="393"/>
      <c r="M103" s="393"/>
      <c r="N103" s="393"/>
      <c r="O103" s="393"/>
      <c r="P103" s="393"/>
    </row>
    <row r="104" spans="1:16" ht="17.25" customHeight="1">
      <c r="A104" s="596"/>
      <c r="B104" s="595"/>
      <c r="C104" s="595"/>
      <c r="D104" s="417" t="str">
        <f>'Zbiorczo-paragr'!D310</f>
        <v>Punkty przedszkolne w Warszawie</v>
      </c>
      <c r="E104" s="429">
        <v>21600</v>
      </c>
      <c r="F104" s="429">
        <f>SUM('Niepubl placówki'!E39)</f>
        <v>22800</v>
      </c>
      <c r="G104" s="422">
        <f t="shared" si="7"/>
        <v>1.0555555555555556</v>
      </c>
      <c r="H104" s="428"/>
      <c r="I104" s="393"/>
      <c r="J104" s="393"/>
      <c r="K104" s="393"/>
      <c r="L104" s="393"/>
      <c r="M104" s="393"/>
      <c r="N104" s="393"/>
      <c r="O104" s="393"/>
      <c r="P104" s="393"/>
    </row>
    <row r="105" spans="1:16" ht="17.25" customHeight="1">
      <c r="A105" s="596"/>
      <c r="B105" s="595"/>
      <c r="C105" s="595"/>
      <c r="D105" s="417" t="str">
        <f>'Zbiorczo-paragr'!D311</f>
        <v xml:space="preserve">Punkty przedszkolne w Pruszkowie     </v>
      </c>
      <c r="E105" s="429">
        <v>24360</v>
      </c>
      <c r="F105" s="429">
        <f>SUM('Niepubl placówki'!E40)</f>
        <v>18600</v>
      </c>
      <c r="G105" s="422">
        <f t="shared" si="7"/>
        <v>0.76354679802955661</v>
      </c>
      <c r="H105" s="428"/>
      <c r="I105" s="393"/>
      <c r="J105" s="393"/>
      <c r="K105" s="393"/>
      <c r="L105" s="393"/>
      <c r="M105" s="393"/>
      <c r="N105" s="393"/>
      <c r="O105" s="393"/>
      <c r="P105" s="393"/>
    </row>
    <row r="106" spans="1:16" ht="17.25" customHeight="1">
      <c r="A106" s="596"/>
      <c r="B106" s="595"/>
      <c r="C106" s="595"/>
      <c r="D106" s="417" t="str">
        <f>'Zbiorczo-paragr'!D312</f>
        <v>Punkty przedszkolne w Brwinowie</v>
      </c>
      <c r="E106" s="429">
        <v>9120</v>
      </c>
      <c r="F106" s="429">
        <f>SUM('Niepubl placówki'!E41)</f>
        <v>9120</v>
      </c>
      <c r="G106" s="422">
        <f t="shared" si="7"/>
        <v>1</v>
      </c>
      <c r="H106" s="428"/>
      <c r="I106" s="393"/>
      <c r="J106" s="393"/>
      <c r="K106" s="393"/>
      <c r="L106" s="393"/>
      <c r="M106" s="393"/>
      <c r="N106" s="393"/>
      <c r="O106" s="393"/>
      <c r="P106" s="393"/>
    </row>
    <row r="107" spans="1:16" ht="17.25" customHeight="1">
      <c r="A107" s="596"/>
      <c r="B107" s="595"/>
      <c r="C107" s="595"/>
      <c r="D107" s="417" t="str">
        <f>'Zbiorczo-paragr'!D313</f>
        <v>Punkty przedszkolne w Piastowie</v>
      </c>
      <c r="E107" s="429">
        <v>6000</v>
      </c>
      <c r="F107" s="429">
        <f>SUM('Niepubl placówki'!E42)</f>
        <v>7920</v>
      </c>
      <c r="G107" s="422">
        <f t="shared" si="7"/>
        <v>1.32</v>
      </c>
      <c r="H107" s="428"/>
      <c r="I107" s="393"/>
      <c r="J107" s="393"/>
      <c r="K107" s="393"/>
      <c r="L107" s="393"/>
      <c r="M107" s="393"/>
      <c r="N107" s="393"/>
      <c r="O107" s="393"/>
      <c r="P107" s="393"/>
    </row>
    <row r="108" spans="1:16" ht="17.25" customHeight="1">
      <c r="A108" s="596"/>
      <c r="B108" s="595"/>
      <c r="C108" s="595"/>
      <c r="D108" s="417" t="str">
        <f>'Zbiorczo-paragr'!D314</f>
        <v>Punkty przedszkolne w Raszynie</v>
      </c>
      <c r="E108" s="429">
        <v>4680</v>
      </c>
      <c r="F108" s="429">
        <f>SUM('Niepubl placówki'!E43)</f>
        <v>10080</v>
      </c>
      <c r="G108" s="422">
        <f t="shared" si="7"/>
        <v>2.1538461538461537</v>
      </c>
      <c r="H108" s="428"/>
      <c r="I108" s="393"/>
      <c r="J108" s="393"/>
      <c r="K108" s="393"/>
      <c r="L108" s="393"/>
      <c r="M108" s="393"/>
      <c r="N108" s="393"/>
      <c r="O108" s="393"/>
      <c r="P108" s="393"/>
    </row>
    <row r="109" spans="1:16" ht="17.25" customHeight="1">
      <c r="A109" s="599" t="str">
        <f>'Zbiorczo-paragr'!A315:D315</f>
        <v>Rozdział 80106 - Inne formy wychowania przedszkolnego - Razem</v>
      </c>
      <c r="B109" s="600"/>
      <c r="C109" s="600"/>
      <c r="D109" s="601"/>
      <c r="E109" s="407">
        <f>E86+E103</f>
        <v>492137</v>
      </c>
      <c r="F109" s="407">
        <f>F86+F103</f>
        <v>522315</v>
      </c>
      <c r="G109" s="408">
        <f>SUM(F109/E109)</f>
        <v>1.0613203234058808</v>
      </c>
      <c r="H109" s="413" t="e">
        <f>F109/#REF!</f>
        <v>#REF!</v>
      </c>
      <c r="I109" s="418"/>
      <c r="J109" s="393"/>
      <c r="K109" s="393"/>
      <c r="L109" s="393"/>
      <c r="M109" s="393"/>
      <c r="N109" s="393"/>
      <c r="O109" s="393"/>
      <c r="P109" s="393"/>
    </row>
    <row r="110" spans="1:16" ht="17.25" customHeight="1">
      <c r="A110" s="594">
        <v>801</v>
      </c>
      <c r="B110" s="594">
        <v>80113</v>
      </c>
      <c r="C110" s="594">
        <v>4300</v>
      </c>
      <c r="D110" s="412" t="str">
        <f>'Zbiorczo-paragr'!D395</f>
        <v xml:space="preserve">Zakup usług pozostałych                                 </v>
      </c>
      <c r="E110" s="411">
        <f>SUM(E111:E112)</f>
        <v>427000</v>
      </c>
      <c r="F110" s="411">
        <f>SUM(F111:F112)</f>
        <v>442000</v>
      </c>
      <c r="G110" s="401">
        <f>SUM(F110/E110)</f>
        <v>1.0351288056206089</v>
      </c>
      <c r="H110" s="413" t="e">
        <f>F110/#REF!</f>
        <v>#REF!</v>
      </c>
      <c r="I110" s="393"/>
      <c r="J110" s="393"/>
      <c r="K110" s="393"/>
      <c r="L110" s="393"/>
      <c r="M110" s="393"/>
      <c r="N110" s="393"/>
      <c r="O110" s="393"/>
      <c r="P110" s="393"/>
    </row>
    <row r="111" spans="1:16" ht="17.25" customHeight="1">
      <c r="A111" s="596"/>
      <c r="B111" s="596"/>
      <c r="C111" s="596"/>
      <c r="D111" s="412" t="str">
        <f>'Zbiorczo-paragr'!D396</f>
        <v>dowóz dzieci do szkół</v>
      </c>
      <c r="E111" s="411">
        <v>240000</v>
      </c>
      <c r="F111" s="411">
        <v>230000</v>
      </c>
      <c r="G111" s="401">
        <f>SUM(F111/E111)</f>
        <v>0.95833333333333337</v>
      </c>
      <c r="H111" s="413" t="e">
        <f>F111/#REF!</f>
        <v>#REF!</v>
      </c>
      <c r="I111" s="393"/>
      <c r="J111" s="393"/>
      <c r="K111" s="393"/>
      <c r="L111" s="393"/>
      <c r="M111" s="393"/>
      <c r="N111" s="393"/>
      <c r="O111" s="393"/>
      <c r="P111" s="393"/>
    </row>
    <row r="112" spans="1:16" ht="17.25" customHeight="1">
      <c r="A112" s="598"/>
      <c r="B112" s="598"/>
      <c r="C112" s="598"/>
      <c r="D112" s="412" t="str">
        <f>'Zbiorczo-paragr'!D397</f>
        <v>dowóz dzieci niepełnosprawnych</v>
      </c>
      <c r="E112" s="411">
        <v>187000</v>
      </c>
      <c r="F112" s="411">
        <v>212000</v>
      </c>
      <c r="G112" s="401">
        <f>SUM(F112/E112)</f>
        <v>1.1336898395721926</v>
      </c>
      <c r="H112" s="413" t="e">
        <f>F112/#REF!</f>
        <v>#REF!</v>
      </c>
      <c r="I112" s="393"/>
      <c r="J112" s="393"/>
      <c r="K112" s="393"/>
      <c r="L112" s="393"/>
      <c r="M112" s="393"/>
      <c r="N112" s="393"/>
      <c r="O112" s="393"/>
      <c r="P112" s="393"/>
    </row>
    <row r="113" spans="1:16" ht="17.25" customHeight="1">
      <c r="A113" s="599" t="str">
        <f>'Zbiorczo-paragr'!A398:D398</f>
        <v>80113 Dowożenie uczniów : Razem</v>
      </c>
      <c r="B113" s="602"/>
      <c r="C113" s="602"/>
      <c r="D113" s="603"/>
      <c r="E113" s="407">
        <f>SUM(E110)</f>
        <v>427000</v>
      </c>
      <c r="F113" s="407">
        <f>SUM(F110)</f>
        <v>442000</v>
      </c>
      <c r="G113" s="408">
        <f>SUM(F113/E113)</f>
        <v>1.0351288056206089</v>
      </c>
      <c r="H113" s="413" t="e">
        <f>F113/#REF!</f>
        <v>#REF!</v>
      </c>
      <c r="I113" s="393"/>
      <c r="J113" s="393"/>
      <c r="K113" s="393"/>
      <c r="L113" s="393"/>
      <c r="M113" s="393"/>
      <c r="N113" s="393"/>
      <c r="O113" s="393"/>
      <c r="P113" s="393"/>
    </row>
    <row r="114" spans="1:16" ht="18" customHeight="1">
      <c r="A114" s="594">
        <v>801</v>
      </c>
      <c r="B114" s="604">
        <v>80149</v>
      </c>
      <c r="C114" s="604">
        <v>2540</v>
      </c>
      <c r="D114" s="430" t="str">
        <f>'Zbiorczo-paragr'!D455</f>
        <v>Dotacja podmiotowa z budżetu dla niepublicznej jednostki systemu oświaty</v>
      </c>
      <c r="E114" s="411">
        <f>SUM(E115:E125)</f>
        <v>1983438</v>
      </c>
      <c r="F114" s="411">
        <f>SUM(F115:F125)</f>
        <v>2063400</v>
      </c>
      <c r="G114" s="401">
        <f t="shared" ref="G114:G143" si="8">SUM(F114/E114)</f>
        <v>1.0403148472500778</v>
      </c>
      <c r="H114" s="413"/>
      <c r="I114" s="418"/>
      <c r="J114" s="393"/>
      <c r="K114" s="393"/>
      <c r="L114" s="393"/>
      <c r="M114" s="393"/>
      <c r="N114" s="393"/>
      <c r="O114" s="393"/>
      <c r="P114" s="393"/>
    </row>
    <row r="115" spans="1:16" ht="18" customHeight="1">
      <c r="A115" s="595"/>
      <c r="B115" s="605"/>
      <c r="C115" s="606"/>
      <c r="D115" s="430" t="str">
        <f>'Zbiorczo-paragr'!D456</f>
        <v xml:space="preserve">Przedszkole Niepubliczne Zgromadzenia Sióstr Misjonarek Świętej Rodziny w Komorowie                </v>
      </c>
      <c r="E115" s="411">
        <v>22622</v>
      </c>
      <c r="F115" s="411">
        <f>'Niepubl placówki'!E64</f>
        <v>19920</v>
      </c>
      <c r="G115" s="401">
        <f t="shared" si="8"/>
        <v>0.88055874812129786</v>
      </c>
      <c r="H115" s="413"/>
      <c r="I115" s="418"/>
      <c r="J115" s="393"/>
      <c r="K115" s="393"/>
      <c r="L115" s="393"/>
      <c r="M115" s="393"/>
      <c r="N115" s="393"/>
      <c r="O115" s="393"/>
      <c r="P115" s="393"/>
    </row>
    <row r="116" spans="1:16" ht="18" customHeight="1">
      <c r="A116" s="595"/>
      <c r="B116" s="605"/>
      <c r="C116" s="606"/>
      <c r="D116" s="430" t="str">
        <f>'Zbiorczo-paragr'!D457</f>
        <v xml:space="preserve">Przedszkole Niepubliczne Sióstr Służebniczek w Komorowie                </v>
      </c>
      <c r="E116" s="411">
        <v>51173</v>
      </c>
      <c r="F116" s="411">
        <f>'Niepubl placówki'!E68</f>
        <v>0</v>
      </c>
      <c r="G116" s="401">
        <f t="shared" si="8"/>
        <v>0</v>
      </c>
      <c r="H116" s="413"/>
      <c r="I116" s="418"/>
      <c r="J116" s="393"/>
      <c r="K116" s="393"/>
      <c r="L116" s="393"/>
      <c r="M116" s="393"/>
      <c r="N116" s="393"/>
      <c r="O116" s="393"/>
      <c r="P116" s="393"/>
    </row>
    <row r="117" spans="1:16" ht="18" customHeight="1">
      <c r="A117" s="596"/>
      <c r="B117" s="606"/>
      <c r="C117" s="606"/>
      <c r="D117" s="430" t="str">
        <f>'Zbiorczo-paragr'!D458</f>
        <v>Punk Przedszkolny "Antoś" w Michałowicach</v>
      </c>
      <c r="E117" s="411">
        <v>271484</v>
      </c>
      <c r="F117" s="411">
        <f>'Niepubl placówki'!E73</f>
        <v>208800</v>
      </c>
      <c r="G117" s="401">
        <f t="shared" si="8"/>
        <v>0.76910609833360344</v>
      </c>
      <c r="H117" s="413"/>
      <c r="I117" s="418"/>
      <c r="J117" s="393"/>
      <c r="K117" s="393"/>
      <c r="L117" s="393"/>
      <c r="M117" s="393"/>
      <c r="N117" s="393"/>
      <c r="O117" s="393"/>
      <c r="P117" s="393"/>
    </row>
    <row r="118" spans="1:16" ht="18" customHeight="1">
      <c r="A118" s="596"/>
      <c r="B118" s="606"/>
      <c r="C118" s="606"/>
      <c r="D118" s="430" t="str">
        <f>'Zbiorczo-paragr'!D459</f>
        <v>Punk Przedszkolny Integracyjny "Słoneczna Kraina" w Nowej Wsi</v>
      </c>
      <c r="E118" s="411">
        <v>224082</v>
      </c>
      <c r="F118" s="411">
        <f>'Niepubl placówki'!E78</f>
        <v>383640</v>
      </c>
      <c r="G118" s="401">
        <f t="shared" si="8"/>
        <v>1.7120518381663856</v>
      </c>
      <c r="H118" s="413"/>
      <c r="I118" s="418"/>
      <c r="J118" s="393"/>
      <c r="K118" s="393"/>
      <c r="L118" s="393"/>
      <c r="M118" s="393"/>
      <c r="N118" s="393"/>
      <c r="O118" s="393"/>
      <c r="P118" s="393"/>
    </row>
    <row r="119" spans="1:16" ht="18" customHeight="1">
      <c r="A119" s="596"/>
      <c r="B119" s="606"/>
      <c r="C119" s="606"/>
      <c r="D119" s="430" t="str">
        <f>'Zbiorczo-paragr'!D460</f>
        <v>Punk Przedszkolny "Słoneczna Kraina" w Komorowie</v>
      </c>
      <c r="E119" s="411">
        <v>358208</v>
      </c>
      <c r="F119" s="411">
        <f>'Niepubl placówki'!E83</f>
        <v>388200</v>
      </c>
      <c r="G119" s="401">
        <f t="shared" si="8"/>
        <v>1.0837278899410399</v>
      </c>
      <c r="H119" s="413"/>
      <c r="I119" s="418"/>
      <c r="J119" s="393"/>
      <c r="K119" s="393"/>
      <c r="L119" s="393"/>
      <c r="M119" s="393"/>
      <c r="N119" s="393"/>
      <c r="O119" s="393"/>
      <c r="P119" s="393"/>
    </row>
    <row r="120" spans="1:16" ht="18" customHeight="1">
      <c r="A120" s="596"/>
      <c r="B120" s="606"/>
      <c r="C120" s="606"/>
      <c r="D120" s="430" t="str">
        <f>'Zbiorczo-paragr'!D461</f>
        <v>Punk Przedszkolny "Adaś" w Michałowicach</v>
      </c>
      <c r="E120" s="411">
        <v>358208</v>
      </c>
      <c r="F120" s="411">
        <f>'Niepubl placówki'!E88</f>
        <v>299160</v>
      </c>
      <c r="G120" s="401">
        <f t="shared" si="8"/>
        <v>0.83515722708593887</v>
      </c>
      <c r="H120" s="413"/>
      <c r="I120" s="418"/>
      <c r="J120" s="393"/>
      <c r="K120" s="393"/>
      <c r="L120" s="393"/>
      <c r="M120" s="393"/>
      <c r="N120" s="393"/>
      <c r="O120" s="393"/>
      <c r="P120" s="393"/>
    </row>
    <row r="121" spans="1:16" ht="18" customHeight="1">
      <c r="A121" s="596"/>
      <c r="B121" s="606"/>
      <c r="C121" s="606"/>
      <c r="D121" s="430" t="str">
        <f>'Zbiorczo-paragr'!D462</f>
        <v>Punkt Przedszkolny inspirowany pedagogiką Waldorfską w Komorowie</v>
      </c>
      <c r="E121" s="411">
        <v>49009</v>
      </c>
      <c r="F121" s="411">
        <f>'Niepubl placówki'!E93</f>
        <v>0</v>
      </c>
      <c r="G121" s="401">
        <f t="shared" si="8"/>
        <v>0</v>
      </c>
      <c r="H121" s="413"/>
      <c r="I121" s="418"/>
      <c r="J121" s="393"/>
      <c r="K121" s="393"/>
      <c r="L121" s="393"/>
      <c r="M121" s="393"/>
      <c r="N121" s="393"/>
      <c r="O121" s="393"/>
      <c r="P121" s="393"/>
    </row>
    <row r="122" spans="1:16" ht="18" customHeight="1">
      <c r="A122" s="596"/>
      <c r="B122" s="606"/>
      <c r="C122" s="606"/>
      <c r="D122" s="430" t="str">
        <f>'Zbiorczo-paragr'!D463</f>
        <v xml:space="preserve">Punk przedszkolny terapeutyczny "Pierwsze kroki" w Regułach </v>
      </c>
      <c r="E122" s="411">
        <v>511726</v>
      </c>
      <c r="F122" s="411">
        <f>'Niepubl placówki'!E97</f>
        <v>649200</v>
      </c>
      <c r="G122" s="401">
        <f t="shared" si="8"/>
        <v>1.2686476747321809</v>
      </c>
      <c r="H122" s="413"/>
      <c r="I122" s="418"/>
      <c r="J122" s="393"/>
      <c r="K122" s="393"/>
      <c r="L122" s="393"/>
      <c r="M122" s="393"/>
      <c r="N122" s="393"/>
      <c r="O122" s="393"/>
      <c r="P122" s="393"/>
    </row>
    <row r="123" spans="1:16" ht="18" customHeight="1">
      <c r="A123" s="596"/>
      <c r="B123" s="606"/>
      <c r="C123" s="606"/>
      <c r="D123" s="430" t="str">
        <f>'Zbiorczo-paragr'!D464</f>
        <v>Przedszkole NiepubliczneZielone Przedszkole w Komorowie</v>
      </c>
      <c r="E123" s="411">
        <v>61753</v>
      </c>
      <c r="F123" s="411">
        <f>'Niepubl placówki'!E102</f>
        <v>57240</v>
      </c>
      <c r="G123" s="401">
        <f t="shared" si="8"/>
        <v>0.92691853027383286</v>
      </c>
      <c r="H123" s="413"/>
      <c r="I123" s="418"/>
      <c r="J123" s="393"/>
      <c r="K123" s="393"/>
      <c r="L123" s="393"/>
      <c r="M123" s="393"/>
      <c r="N123" s="393"/>
      <c r="O123" s="393"/>
      <c r="P123" s="393"/>
    </row>
    <row r="124" spans="1:16" ht="18" customHeight="1">
      <c r="A124" s="596"/>
      <c r="B124" s="606"/>
      <c r="C124" s="606"/>
      <c r="D124" s="430" t="str">
        <f>'Zbiorczo-paragr'!D465</f>
        <v>Przedszkole Dobre Przedszkole w Komorowie</v>
      </c>
      <c r="E124" s="411">
        <v>51173</v>
      </c>
      <c r="F124" s="411">
        <f>'Niepubl placówki'!E111</f>
        <v>0</v>
      </c>
      <c r="G124" s="401">
        <f t="shared" si="8"/>
        <v>0</v>
      </c>
      <c r="H124" s="413"/>
      <c r="I124" s="418"/>
      <c r="J124" s="393"/>
      <c r="K124" s="393"/>
      <c r="L124" s="393"/>
      <c r="M124" s="393"/>
      <c r="N124" s="393"/>
      <c r="O124" s="393"/>
      <c r="P124" s="393"/>
    </row>
    <row r="125" spans="1:16" ht="20.25" customHeight="1">
      <c r="A125" s="596"/>
      <c r="B125" s="606"/>
      <c r="C125" s="606"/>
      <c r="D125" s="430" t="str">
        <f>'Zbiorczo-paragr'!D466</f>
        <v xml:space="preserve">Prywatne niepubliczne przedszkole w Michałowicach            </v>
      </c>
      <c r="E125" s="411">
        <v>24000</v>
      </c>
      <c r="F125" s="411">
        <f>'Niepubl placówki'!E106</f>
        <v>57240</v>
      </c>
      <c r="G125" s="401">
        <f t="shared" si="8"/>
        <v>2.3849999999999998</v>
      </c>
      <c r="H125" s="413"/>
      <c r="I125" s="418"/>
      <c r="J125" s="393"/>
      <c r="K125" s="393"/>
      <c r="L125" s="393"/>
      <c r="M125" s="393"/>
      <c r="N125" s="393"/>
      <c r="O125" s="393"/>
      <c r="P125" s="393"/>
    </row>
    <row r="126" spans="1:16" ht="33.75" customHeight="1">
      <c r="A126" s="591" t="str">
        <f>'Zbiorczo-paragr'!A485:D485</f>
        <v>80149 Realizacja zadań wymagających stosowania specjalnej organizacji nauki i metod pracy dla dzieci w przedszkolach, oddziałach przedszkolnych w szkołach podstawowych i innych formach wychowania przedszkolnego : Razem</v>
      </c>
      <c r="B126" s="592"/>
      <c r="C126" s="592"/>
      <c r="D126" s="593"/>
      <c r="E126" s="407">
        <f>E114</f>
        <v>1983438</v>
      </c>
      <c r="F126" s="407">
        <f>F114</f>
        <v>2063400</v>
      </c>
      <c r="G126" s="408">
        <f t="shared" si="8"/>
        <v>1.0403148472500778</v>
      </c>
      <c r="H126" s="413"/>
      <c r="I126" s="418"/>
      <c r="J126" s="418"/>
      <c r="K126" s="418"/>
      <c r="L126" s="393"/>
      <c r="M126" s="393"/>
      <c r="N126" s="393"/>
      <c r="O126" s="393"/>
      <c r="P126" s="393"/>
    </row>
    <row r="127" spans="1:16" ht="18" customHeight="1">
      <c r="A127" s="495">
        <v>801</v>
      </c>
      <c r="B127" s="495">
        <v>80153</v>
      </c>
      <c r="C127" s="27">
        <v>4210</v>
      </c>
      <c r="D127" s="455" t="str">
        <f>'Zbiorczo-paragr'!D524</f>
        <v xml:space="preserve">Zakup materiałów i wyposażenia                          </v>
      </c>
      <c r="E127" s="109">
        <f>E128</f>
        <v>2310.36</v>
      </c>
      <c r="F127" s="109">
        <f>F128</f>
        <v>0</v>
      </c>
      <c r="G127" s="70">
        <f t="shared" si="8"/>
        <v>0</v>
      </c>
      <c r="H127" s="413"/>
      <c r="I127" s="418"/>
      <c r="J127" s="418"/>
      <c r="K127" s="418"/>
      <c r="L127" s="393"/>
      <c r="M127" s="393"/>
      <c r="N127" s="393"/>
      <c r="O127" s="393"/>
      <c r="P127" s="393"/>
    </row>
    <row r="128" spans="1:16" ht="17.25" customHeight="1">
      <c r="A128" s="528"/>
      <c r="B128" s="528"/>
      <c r="C128" s="27"/>
      <c r="D128" s="455" t="str">
        <f>'Zbiorczo-paragr'!D525</f>
        <v>CUW- dotacja podręcznikowa</v>
      </c>
      <c r="E128" s="109">
        <v>2310.36</v>
      </c>
      <c r="F128" s="109"/>
      <c r="G128" s="70">
        <f t="shared" si="8"/>
        <v>0</v>
      </c>
      <c r="H128" s="413"/>
      <c r="I128" s="418"/>
      <c r="J128" s="418"/>
      <c r="K128" s="418"/>
      <c r="L128" s="393"/>
      <c r="M128" s="393"/>
      <c r="N128" s="393"/>
      <c r="O128" s="393"/>
      <c r="P128" s="393"/>
    </row>
    <row r="129" spans="1:16" ht="33.75" customHeight="1">
      <c r="A129" s="512" t="str">
        <f>'Zbiorczo-paragr'!A536:D536</f>
        <v>80153 Zapewnienie uczniom prawa do bezpłatnego dostępu do podręcznikó, materiałów edukacyjnych lub materiałów ćwiczeniowych : Razem</v>
      </c>
      <c r="B129" s="513"/>
      <c r="C129" s="513"/>
      <c r="D129" s="514"/>
      <c r="E129" s="407">
        <f>E127</f>
        <v>2310.36</v>
      </c>
      <c r="F129" s="407">
        <f>F127</f>
        <v>0</v>
      </c>
      <c r="G129" s="408">
        <f t="shared" si="8"/>
        <v>0</v>
      </c>
      <c r="H129" s="413"/>
      <c r="I129" s="418"/>
      <c r="J129" s="418"/>
      <c r="K129" s="418"/>
      <c r="L129" s="393"/>
      <c r="M129" s="393"/>
      <c r="N129" s="393"/>
      <c r="O129" s="393"/>
      <c r="P129" s="393"/>
    </row>
    <row r="130" spans="1:16" ht="18.75" customHeight="1">
      <c r="A130" s="630">
        <v>801</v>
      </c>
      <c r="B130" s="630">
        <v>80195</v>
      </c>
      <c r="C130" s="495">
        <v>3040</v>
      </c>
      <c r="D130" s="146" t="str">
        <f>'Zbiorczo-paragr'!D537</f>
        <v>Nagrody o charakterze szczególnym niezaliczone do wynagrodzeń</v>
      </c>
      <c r="E130" s="109">
        <f>E131</f>
        <v>0</v>
      </c>
      <c r="F130" s="109">
        <f>F131+F132</f>
        <v>67260</v>
      </c>
      <c r="G130" s="70" t="e">
        <f t="shared" si="8"/>
        <v>#DIV/0!</v>
      </c>
      <c r="H130" s="413"/>
      <c r="I130" s="418"/>
      <c r="J130" s="418"/>
      <c r="K130" s="418"/>
      <c r="L130" s="393"/>
      <c r="M130" s="393"/>
      <c r="N130" s="393"/>
      <c r="O130" s="393"/>
      <c r="P130" s="393"/>
    </row>
    <row r="131" spans="1:16" ht="18" customHeight="1">
      <c r="A131" s="631"/>
      <c r="B131" s="631"/>
      <c r="C131" s="496"/>
      <c r="D131" s="146" t="str">
        <f>'Zbiorczo-paragr'!D538</f>
        <v>nagrody Wójta dla nauczycieli z okazji DEN</v>
      </c>
      <c r="E131" s="109">
        <v>0</v>
      </c>
      <c r="F131" s="109">
        <f>ROUNDUP('[3]Nagrody DEN'!$H$24/10,0)*10</f>
        <v>57260</v>
      </c>
      <c r="G131" s="70" t="e">
        <f t="shared" si="8"/>
        <v>#DIV/0!</v>
      </c>
      <c r="H131" s="413"/>
      <c r="I131" s="418"/>
      <c r="J131" s="418"/>
      <c r="K131" s="418"/>
      <c r="L131" s="393"/>
      <c r="M131" s="393"/>
      <c r="N131" s="393"/>
      <c r="O131" s="393"/>
      <c r="P131" s="393"/>
    </row>
    <row r="132" spans="1:16" ht="21" customHeight="1">
      <c r="A132" s="631"/>
      <c r="B132" s="631"/>
      <c r="C132" s="528"/>
      <c r="D132" s="146" t="str">
        <f>'Zbiorczo-paragr'!D539</f>
        <v>nagrody Wójta dla nauczycieli</v>
      </c>
      <c r="E132" s="109">
        <v>0</v>
      </c>
      <c r="F132" s="109">
        <v>10000</v>
      </c>
      <c r="G132" s="70" t="e">
        <f t="shared" si="8"/>
        <v>#DIV/0!</v>
      </c>
      <c r="H132" s="413"/>
      <c r="I132" s="418"/>
      <c r="J132" s="418"/>
      <c r="K132" s="418"/>
      <c r="L132" s="393"/>
      <c r="M132" s="393"/>
      <c r="N132" s="393"/>
      <c r="O132" s="393"/>
      <c r="P132" s="393"/>
    </row>
    <row r="133" spans="1:16" ht="18" customHeight="1">
      <c r="A133" s="631"/>
      <c r="B133" s="631"/>
      <c r="C133" s="597">
        <f>'Zbiorczo-paragr'!C540</f>
        <v>4010</v>
      </c>
      <c r="D133" s="403" t="str">
        <f>'Zbiorczo-paragr'!D540</f>
        <v xml:space="preserve">Wynagrodzenia osobowe pracowników                       </v>
      </c>
      <c r="E133" s="411">
        <f>E134</f>
        <v>50776</v>
      </c>
      <c r="F133" s="411">
        <f>F134</f>
        <v>0</v>
      </c>
      <c r="G133" s="401">
        <f t="shared" si="8"/>
        <v>0</v>
      </c>
      <c r="H133" s="413"/>
      <c r="I133" s="418"/>
      <c r="J133" s="418"/>
      <c r="K133" s="418"/>
      <c r="L133" s="393"/>
      <c r="M133" s="393"/>
      <c r="N133" s="393"/>
      <c r="O133" s="393"/>
      <c r="P133" s="393"/>
    </row>
    <row r="134" spans="1:16" ht="18.75" customHeight="1">
      <c r="A134" s="631"/>
      <c r="B134" s="631"/>
      <c r="C134" s="597"/>
      <c r="D134" s="403" t="str">
        <f>'Zbiorczo-paragr'!D541</f>
        <v>nagrody Wójta dla nauczycieli z okazji DEN</v>
      </c>
      <c r="E134" s="411">
        <v>50776</v>
      </c>
      <c r="F134" s="411">
        <v>0</v>
      </c>
      <c r="G134" s="401">
        <f t="shared" si="8"/>
        <v>0</v>
      </c>
      <c r="H134" s="413"/>
      <c r="I134" s="418"/>
      <c r="J134" s="418"/>
      <c r="K134" s="418"/>
      <c r="L134" s="393"/>
      <c r="M134" s="393"/>
      <c r="N134" s="393"/>
      <c r="O134" s="393"/>
      <c r="P134" s="393"/>
    </row>
    <row r="135" spans="1:16" ht="16.5" customHeight="1">
      <c r="A135" s="631"/>
      <c r="B135" s="631"/>
      <c r="C135" s="597">
        <f>'Zbiorczo-paragr'!C542</f>
        <v>4110</v>
      </c>
      <c r="D135" s="403" t="str">
        <f>'Zbiorczo-paragr'!D542</f>
        <v xml:space="preserve">Składki na ubezpieczenia społeczne                      </v>
      </c>
      <c r="E135" s="411">
        <f>E136</f>
        <v>10160</v>
      </c>
      <c r="F135" s="411">
        <f>F136</f>
        <v>0</v>
      </c>
      <c r="G135" s="401">
        <f t="shared" si="8"/>
        <v>0</v>
      </c>
      <c r="H135" s="413"/>
      <c r="I135" s="418"/>
      <c r="J135" s="418"/>
      <c r="K135" s="418"/>
      <c r="L135" s="393"/>
      <c r="M135" s="393"/>
      <c r="N135" s="393"/>
      <c r="O135" s="393"/>
      <c r="P135" s="393"/>
    </row>
    <row r="136" spans="1:16" ht="18" customHeight="1">
      <c r="A136" s="631"/>
      <c r="B136" s="631"/>
      <c r="C136" s="597"/>
      <c r="D136" s="403" t="str">
        <f>'Zbiorczo-paragr'!D543</f>
        <v xml:space="preserve">składki na ubezpieczenia społeczne                      </v>
      </c>
      <c r="E136" s="411">
        <f>9250+910</f>
        <v>10160</v>
      </c>
      <c r="F136" s="411">
        <v>0</v>
      </c>
      <c r="G136" s="401">
        <f t="shared" si="8"/>
        <v>0</v>
      </c>
      <c r="H136" s="413"/>
      <c r="I136" s="418"/>
      <c r="J136" s="418"/>
      <c r="K136" s="418"/>
      <c r="L136" s="393"/>
      <c r="M136" s="393"/>
      <c r="N136" s="393"/>
      <c r="O136" s="393"/>
      <c r="P136" s="393"/>
    </row>
    <row r="137" spans="1:16" ht="19.5" customHeight="1">
      <c r="A137" s="631"/>
      <c r="B137" s="631"/>
      <c r="C137" s="597">
        <f>'Zbiorczo-paragr'!C544</f>
        <v>4120</v>
      </c>
      <c r="D137" s="403" t="str">
        <f>'Zbiorczo-paragr'!D544</f>
        <v xml:space="preserve">Składki na Fundusz Pracy                                </v>
      </c>
      <c r="E137" s="411">
        <f>E138</f>
        <v>1373</v>
      </c>
      <c r="F137" s="411">
        <f>F138</f>
        <v>0</v>
      </c>
      <c r="G137" s="401">
        <f t="shared" si="8"/>
        <v>0</v>
      </c>
      <c r="H137" s="413"/>
      <c r="I137" s="418"/>
      <c r="J137" s="418"/>
      <c r="K137" s="418"/>
      <c r="L137" s="393"/>
      <c r="M137" s="393"/>
      <c r="N137" s="393"/>
      <c r="O137" s="393"/>
      <c r="P137" s="393"/>
    </row>
    <row r="138" spans="1:16" ht="18.75" customHeight="1">
      <c r="A138" s="631"/>
      <c r="B138" s="631"/>
      <c r="C138" s="597"/>
      <c r="D138" s="403" t="str">
        <f>'Zbiorczo-paragr'!D545</f>
        <v xml:space="preserve">składki na Fundusz Pracy                                </v>
      </c>
      <c r="E138" s="411">
        <f>1250+123</f>
        <v>1373</v>
      </c>
      <c r="F138" s="411">
        <v>0</v>
      </c>
      <c r="G138" s="401">
        <f t="shared" si="8"/>
        <v>0</v>
      </c>
      <c r="H138" s="413"/>
      <c r="I138" s="418"/>
      <c r="J138" s="418"/>
      <c r="K138" s="418"/>
      <c r="L138" s="393"/>
      <c r="M138" s="393"/>
      <c r="N138" s="393"/>
      <c r="O138" s="393"/>
      <c r="P138" s="393"/>
    </row>
    <row r="139" spans="1:16" ht="18" customHeight="1">
      <c r="A139" s="631"/>
      <c r="B139" s="631"/>
      <c r="C139" s="597">
        <f>'Zbiorczo-paragr'!C546</f>
        <v>4170</v>
      </c>
      <c r="D139" s="403" t="str">
        <f>'Zbiorczo-paragr'!D546</f>
        <v>Wynagrodzenia bezosobowe</v>
      </c>
      <c r="E139" s="411">
        <f>E140</f>
        <v>5000</v>
      </c>
      <c r="F139" s="411">
        <f>F140</f>
        <v>5000</v>
      </c>
      <c r="G139" s="401">
        <f t="shared" si="8"/>
        <v>1</v>
      </c>
      <c r="H139" s="413"/>
      <c r="I139" s="418"/>
      <c r="J139" s="418"/>
      <c r="K139" s="418"/>
      <c r="L139" s="393"/>
      <c r="M139" s="393"/>
      <c r="N139" s="393"/>
      <c r="O139" s="393"/>
      <c r="P139" s="393"/>
    </row>
    <row r="140" spans="1:16" ht="22.15" customHeight="1">
      <c r="A140" s="632"/>
      <c r="B140" s="632"/>
      <c r="C140" s="597"/>
      <c r="D140" s="403" t="str">
        <f>'Zbiorczo-paragr'!D547</f>
        <v>umowy zlecenia - awanse nauczycielskie (12 komisji egzaminacyjnych)</v>
      </c>
      <c r="E140" s="411">
        <v>5000</v>
      </c>
      <c r="F140" s="411">
        <v>5000</v>
      </c>
      <c r="G140" s="401">
        <f t="shared" si="8"/>
        <v>1</v>
      </c>
      <c r="H140" s="413"/>
      <c r="I140" s="418"/>
      <c r="J140" s="418"/>
      <c r="K140" s="418"/>
      <c r="L140" s="393"/>
      <c r="M140" s="393"/>
      <c r="N140" s="393"/>
      <c r="O140" s="393"/>
      <c r="P140" s="393"/>
    </row>
    <row r="141" spans="1:16" ht="18" customHeight="1">
      <c r="A141" s="624" t="str">
        <f>'Zbiorczo-paragr'!A548:D548</f>
        <v>80195 Pozostała działalność : Razem</v>
      </c>
      <c r="B141" s="625"/>
      <c r="C141" s="625"/>
      <c r="D141" s="626"/>
      <c r="E141" s="407">
        <f>E130+E133+E135+E137+E139</f>
        <v>67309</v>
      </c>
      <c r="F141" s="407">
        <f>F130+F133+F135+F137+F139</f>
        <v>72260</v>
      </c>
      <c r="G141" s="408">
        <f t="shared" si="8"/>
        <v>1.0735562851921734</v>
      </c>
      <c r="H141" s="413"/>
      <c r="I141" s="418"/>
      <c r="J141" s="418"/>
      <c r="K141" s="418"/>
      <c r="L141" s="393"/>
      <c r="M141" s="393"/>
      <c r="N141" s="393"/>
      <c r="O141" s="393"/>
      <c r="P141" s="393"/>
    </row>
    <row r="142" spans="1:16" ht="20.25" customHeight="1">
      <c r="A142" s="610" t="str">
        <f>'Zbiorczo-paragr'!A549:D549</f>
        <v xml:space="preserve">801 Oświata i wychowanie - Razem                                    </v>
      </c>
      <c r="B142" s="611"/>
      <c r="C142" s="611"/>
      <c r="D142" s="611"/>
      <c r="E142" s="416">
        <f>SUM(E39+E46+E85+E109+E113+E126+E129+E141)</f>
        <v>7773017.3600000003</v>
      </c>
      <c r="F142" s="416">
        <f>SUM(F39+F46+F85+F109+F113+F126+F129+F141)</f>
        <v>8399888</v>
      </c>
      <c r="G142" s="408">
        <f t="shared" si="8"/>
        <v>1.0806470140187618</v>
      </c>
      <c r="H142" s="413" t="e">
        <f>F142/#REF!</f>
        <v>#REF!</v>
      </c>
      <c r="I142" s="418"/>
      <c r="J142" s="393"/>
      <c r="K142" s="393"/>
      <c r="L142" s="393"/>
      <c r="M142" s="393"/>
      <c r="N142" s="393"/>
      <c r="O142" s="393"/>
      <c r="P142" s="393"/>
    </row>
    <row r="143" spans="1:16" ht="18.75" customHeight="1">
      <c r="A143" s="637">
        <f>'Zbiorczo-paragr'!A550</f>
        <v>803</v>
      </c>
      <c r="B143" s="637">
        <f>'Zbiorczo-paragr'!B550</f>
        <v>80309</v>
      </c>
      <c r="C143" s="431">
        <f>'Zbiorczo-paragr'!C550</f>
        <v>3210</v>
      </c>
      <c r="D143" s="432" t="str">
        <f>'Zbiorczo-paragr'!D550</f>
        <v>Stypendia i zasiłki dla studentów</v>
      </c>
      <c r="E143" s="400">
        <f>SUM(E144)</f>
        <v>53000</v>
      </c>
      <c r="F143" s="400">
        <f>SUM(F144)</f>
        <v>53000</v>
      </c>
      <c r="G143" s="401">
        <f t="shared" si="8"/>
        <v>1</v>
      </c>
      <c r="H143" s="413" t="e">
        <f>F143/#REF!</f>
        <v>#REF!</v>
      </c>
      <c r="I143" s="393"/>
      <c r="J143" s="393"/>
      <c r="K143" s="393"/>
      <c r="L143" s="393"/>
      <c r="M143" s="393"/>
      <c r="N143" s="393"/>
      <c r="O143" s="393"/>
      <c r="P143" s="393"/>
    </row>
    <row r="144" spans="1:16" ht="16.5" customHeight="1">
      <c r="A144" s="638"/>
      <c r="B144" s="638"/>
      <c r="C144" s="431"/>
      <c r="D144" s="432" t="str">
        <f>'Zbiorczo-paragr'!D551</f>
        <v>stypendia im Jana Pawła II  dla studentów</v>
      </c>
      <c r="E144" s="402">
        <v>53000</v>
      </c>
      <c r="F144" s="402">
        <v>53000</v>
      </c>
      <c r="G144" s="401">
        <f t="shared" ref="G144:G183" si="9">SUM(F144/E144)</f>
        <v>1</v>
      </c>
      <c r="H144" s="413" t="e">
        <f>F144/#REF!</f>
        <v>#REF!</v>
      </c>
      <c r="I144" s="393"/>
      <c r="J144" s="393"/>
      <c r="K144" s="393"/>
      <c r="L144" s="393"/>
      <c r="M144" s="393"/>
      <c r="N144" s="393"/>
      <c r="O144" s="393"/>
      <c r="P144" s="393"/>
    </row>
    <row r="145" spans="1:16" ht="18" customHeight="1">
      <c r="A145" s="639" t="str">
        <f>'Zbiorczo-paragr'!A552:D552</f>
        <v>80309 Pomoc materialna dla studentów: Razem</v>
      </c>
      <c r="B145" s="640"/>
      <c r="C145" s="640"/>
      <c r="D145" s="641"/>
      <c r="E145" s="416">
        <f>SUM(E143)</f>
        <v>53000</v>
      </c>
      <c r="F145" s="416">
        <f>SUM(F143)</f>
        <v>53000</v>
      </c>
      <c r="G145" s="408">
        <f t="shared" si="9"/>
        <v>1</v>
      </c>
      <c r="H145" s="413" t="e">
        <f>F145/#REF!</f>
        <v>#REF!</v>
      </c>
      <c r="I145" s="393"/>
      <c r="J145" s="393"/>
      <c r="K145" s="393"/>
      <c r="L145" s="393"/>
      <c r="M145" s="393"/>
      <c r="N145" s="393"/>
      <c r="O145" s="393"/>
      <c r="P145" s="393"/>
    </row>
    <row r="146" spans="1:16" ht="17.25" customHeight="1">
      <c r="A146" s="610" t="str">
        <f>'Zbiorczo-paragr'!A553</f>
        <v>803 Szkolnictwo wyższe- Razem</v>
      </c>
      <c r="B146" s="610"/>
      <c r="C146" s="610"/>
      <c r="D146" s="610"/>
      <c r="E146" s="416">
        <f>SUM(E145)</f>
        <v>53000</v>
      </c>
      <c r="F146" s="416">
        <f>SUM(F145)</f>
        <v>53000</v>
      </c>
      <c r="G146" s="408">
        <f t="shared" si="9"/>
        <v>1</v>
      </c>
      <c r="H146" s="413" t="e">
        <f>F146/#REF!</f>
        <v>#REF!</v>
      </c>
    </row>
    <row r="147" spans="1:16" ht="17.25" customHeight="1">
      <c r="A147" s="630">
        <v>854</v>
      </c>
      <c r="B147" s="630">
        <v>85404</v>
      </c>
      <c r="C147" s="630">
        <f>'Zbiorczo-paragr'!C595</f>
        <v>2540</v>
      </c>
      <c r="D147" s="433" t="str">
        <f>'Zbiorczo-paragr'!D595</f>
        <v>Dotacja podmiot.z budżetu dla niepublicznej jednostki systemu oświaty</v>
      </c>
      <c r="E147" s="400">
        <f>SUM(E148:E155)</f>
        <v>200611</v>
      </c>
      <c r="F147" s="400">
        <f>SUM(F148:F155)</f>
        <v>285480</v>
      </c>
      <c r="G147" s="408">
        <f t="shared" si="9"/>
        <v>1.4230525743852531</v>
      </c>
      <c r="H147" s="413"/>
    </row>
    <row r="148" spans="1:16" ht="17.25" customHeight="1">
      <c r="A148" s="631"/>
      <c r="B148" s="631"/>
      <c r="C148" s="631"/>
      <c r="D148" s="410" t="str">
        <f>'Zbiorczo-paragr'!D596</f>
        <v>Punkt przedszkolny integracyjny "Słoneczna Kraina" w Nowej Wsi</v>
      </c>
      <c r="E148" s="400">
        <v>27149</v>
      </c>
      <c r="F148" s="400">
        <f>ROUNDUP('Niepubl placówki'!E136,0)</f>
        <v>46800</v>
      </c>
      <c r="G148" s="401">
        <f t="shared" si="9"/>
        <v>1.7238203985413827</v>
      </c>
      <c r="H148" s="413"/>
    </row>
    <row r="149" spans="1:16" ht="17.25" customHeight="1">
      <c r="A149" s="631"/>
      <c r="B149" s="631"/>
      <c r="C149" s="631"/>
      <c r="D149" s="410" t="str">
        <f>'Zbiorczo-paragr'!D597</f>
        <v>Punkt przedszkolny "Słoneczna Kraina" w Komorowie</v>
      </c>
      <c r="E149" s="400">
        <v>27149</v>
      </c>
      <c r="F149" s="400">
        <f>ROUNDUP('Niepubl placówki'!E137,0)</f>
        <v>46800</v>
      </c>
      <c r="G149" s="401">
        <f t="shared" si="9"/>
        <v>1.7238203985413827</v>
      </c>
      <c r="H149" s="413"/>
    </row>
    <row r="150" spans="1:16" ht="17.25" customHeight="1">
      <c r="A150" s="631"/>
      <c r="B150" s="631"/>
      <c r="C150" s="631"/>
      <c r="D150" s="410" t="str">
        <f>'Zbiorczo-paragr'!D598</f>
        <v>Punk Przedszkolny "Antoś" w Michałowicach</v>
      </c>
      <c r="E150" s="400">
        <v>67871</v>
      </c>
      <c r="F150" s="400">
        <f>ROUNDUP('Niepubl placówki'!E138,0)</f>
        <v>60840</v>
      </c>
      <c r="G150" s="401">
        <f t="shared" si="9"/>
        <v>0.89640641805778609</v>
      </c>
      <c r="H150" s="413"/>
    </row>
    <row r="151" spans="1:16" ht="17.25" customHeight="1">
      <c r="A151" s="631"/>
      <c r="B151" s="631"/>
      <c r="C151" s="631"/>
      <c r="D151" s="410" t="str">
        <f>'Zbiorczo-paragr'!D599</f>
        <v>Punk Przedszkolny "Adaś" w Michałowicach</v>
      </c>
      <c r="E151" s="400">
        <v>23599</v>
      </c>
      <c r="F151" s="400">
        <f>ROUNDUP('Niepubl placówki'!E139,0)</f>
        <v>93600</v>
      </c>
      <c r="G151" s="401">
        <f t="shared" si="9"/>
        <v>3.9662697571931016</v>
      </c>
      <c r="H151" s="413"/>
    </row>
    <row r="152" spans="1:16" ht="17.25" customHeight="1">
      <c r="A152" s="631"/>
      <c r="B152" s="631"/>
      <c r="C152" s="631"/>
      <c r="D152" s="410" t="str">
        <f>'Zbiorczo-paragr'!D600</f>
        <v>Punk Przedszkolny Pierwsze Kroki w Regułach</v>
      </c>
      <c r="E152" s="400">
        <v>45248</v>
      </c>
      <c r="F152" s="400">
        <f>ROUNDUP('Niepubl placówki'!E140,0)</f>
        <v>32760</v>
      </c>
      <c r="G152" s="401">
        <f t="shared" si="9"/>
        <v>0.72400990099009899</v>
      </c>
      <c r="H152" s="413"/>
    </row>
    <row r="153" spans="1:16" ht="17.25" customHeight="1">
      <c r="A153" s="631"/>
      <c r="B153" s="631"/>
      <c r="C153" s="631"/>
      <c r="D153" s="410" t="str">
        <f>'Zbiorczo-paragr'!D601</f>
        <v xml:space="preserve">Przedszkole Niepubliczne Sióstr Służebniczek NMP w Komorowie            </v>
      </c>
      <c r="E153" s="400">
        <v>4525</v>
      </c>
      <c r="F153" s="400">
        <f>ROUNDUP('Niepubl placówki'!E141,0)</f>
        <v>0</v>
      </c>
      <c r="G153" s="401">
        <f t="shared" si="9"/>
        <v>0</v>
      </c>
      <c r="H153" s="413"/>
    </row>
    <row r="154" spans="1:16" ht="17.25" customHeight="1">
      <c r="A154" s="631"/>
      <c r="B154" s="631"/>
      <c r="C154" s="631"/>
      <c r="D154" s="410" t="str">
        <f>'Zbiorczo-paragr'!D602</f>
        <v xml:space="preserve">Przedszkole Niepubliczne  Zielone Przedszkole w Granicy            </v>
      </c>
      <c r="E154" s="400">
        <v>3070</v>
      </c>
      <c r="F154" s="400">
        <f>ROUNDUP('Niepubl placówki'!E142,0)</f>
        <v>0</v>
      </c>
      <c r="G154" s="401">
        <f t="shared" si="9"/>
        <v>0</v>
      </c>
      <c r="H154" s="413"/>
    </row>
    <row r="155" spans="1:16" ht="17.25" customHeight="1">
      <c r="A155" s="632"/>
      <c r="B155" s="632"/>
      <c r="C155" s="632"/>
      <c r="D155" s="410" t="str">
        <f>'Zbiorczo-paragr'!D603</f>
        <v xml:space="preserve">Prywatne przedszkole w Michałowicach       </v>
      </c>
      <c r="E155" s="400">
        <v>2000</v>
      </c>
      <c r="F155" s="400">
        <f>ROUNDUP('Niepubl placówki'!E143,0)</f>
        <v>4680</v>
      </c>
      <c r="G155" s="401">
        <f t="shared" si="9"/>
        <v>2.34</v>
      </c>
      <c r="H155" s="413"/>
    </row>
    <row r="156" spans="1:16" ht="17.25" customHeight="1">
      <c r="A156" s="624" t="str">
        <f>'Zbiorczo-paragr'!A604:D604</f>
        <v>85404 Wczesne wspomaganie rozwoju dziecka : Razem</v>
      </c>
      <c r="B156" s="625"/>
      <c r="C156" s="625"/>
      <c r="D156" s="626"/>
      <c r="E156" s="416">
        <f>E147</f>
        <v>200611</v>
      </c>
      <c r="F156" s="416">
        <f>F147</f>
        <v>285480</v>
      </c>
      <c r="G156" s="408">
        <f t="shared" si="9"/>
        <v>1.4230525743852531</v>
      </c>
      <c r="H156" s="413"/>
    </row>
    <row r="157" spans="1:16" ht="17.25" customHeight="1">
      <c r="A157" s="594">
        <v>854</v>
      </c>
      <c r="B157" s="594">
        <v>85415</v>
      </c>
      <c r="C157" s="594">
        <v>3240</v>
      </c>
      <c r="D157" s="412" t="s">
        <v>442</v>
      </c>
      <c r="E157" s="400">
        <f>SUM(E158:E161)</f>
        <v>65138</v>
      </c>
      <c r="F157" s="400">
        <f>SUM(F158:F161)</f>
        <v>68200</v>
      </c>
      <c r="G157" s="401">
        <f t="shared" si="9"/>
        <v>1.0470078909392366</v>
      </c>
      <c r="H157" s="413" t="e">
        <f>F157/#REF!</f>
        <v>#REF!</v>
      </c>
    </row>
    <row r="158" spans="1:16" ht="17.25" customHeight="1">
      <c r="A158" s="596"/>
      <c r="B158" s="596"/>
      <c r="C158" s="595"/>
      <c r="D158" s="412" t="str">
        <f>'Zbiorczo-paragr'!D628</f>
        <v>stypendia socjalne - szkoły podstawowe</v>
      </c>
      <c r="E158" s="400">
        <v>35000</v>
      </c>
      <c r="F158" s="400">
        <f>16*220*10</f>
        <v>35200</v>
      </c>
      <c r="G158" s="401">
        <f t="shared" si="9"/>
        <v>1.0057142857142858</v>
      </c>
      <c r="H158" s="413" t="e">
        <f>F158/#REF!</f>
        <v>#REF!</v>
      </c>
    </row>
    <row r="159" spans="1:16" ht="17.25" customHeight="1">
      <c r="A159" s="596"/>
      <c r="B159" s="596"/>
      <c r="C159" s="595"/>
      <c r="D159" s="412" t="str">
        <f>'Zbiorczo-paragr'!D629</f>
        <v>stypendia socjalne -gimnazja</v>
      </c>
      <c r="E159" s="400">
        <v>14000</v>
      </c>
      <c r="F159" s="400">
        <f>4*220*10</f>
        <v>8800</v>
      </c>
      <c r="G159" s="401">
        <f t="shared" si="9"/>
        <v>0.62857142857142856</v>
      </c>
      <c r="H159" s="413" t="e">
        <f>F159/#REF!</f>
        <v>#REF!</v>
      </c>
    </row>
    <row r="160" spans="1:16" ht="17.25" customHeight="1">
      <c r="A160" s="596"/>
      <c r="B160" s="596"/>
      <c r="C160" s="595"/>
      <c r="D160" s="412" t="str">
        <f>'Zbiorczo-paragr'!D630</f>
        <v>stypendia socjalne -uczniowie ze szkół poza gminą</v>
      </c>
      <c r="E160" s="400">
        <v>15000</v>
      </c>
      <c r="F160" s="400">
        <f>11*220*10</f>
        <v>24200</v>
      </c>
      <c r="G160" s="401">
        <f t="shared" si="9"/>
        <v>1.6133333333333333</v>
      </c>
      <c r="H160" s="413" t="e">
        <f>F160/#REF!</f>
        <v>#REF!</v>
      </c>
    </row>
    <row r="161" spans="1:16" ht="17.25" customHeight="1">
      <c r="A161" s="596"/>
      <c r="B161" s="596"/>
      <c r="C161" s="420"/>
      <c r="D161" s="399" t="s">
        <v>383</v>
      </c>
      <c r="E161" s="400">
        <v>1138</v>
      </c>
      <c r="F161" s="400">
        <v>0</v>
      </c>
      <c r="G161" s="401">
        <f t="shared" si="9"/>
        <v>0</v>
      </c>
      <c r="H161" s="413"/>
    </row>
    <row r="162" spans="1:16" ht="17.25" customHeight="1">
      <c r="A162" s="596"/>
      <c r="B162" s="596"/>
      <c r="C162" s="594">
        <v>3260</v>
      </c>
      <c r="D162" s="412" t="s">
        <v>432</v>
      </c>
      <c r="E162" s="400">
        <f>SUM(E163:E165)</f>
        <v>4000</v>
      </c>
      <c r="F162" s="400">
        <f>SUM(F163:F165)</f>
        <v>4000</v>
      </c>
      <c r="G162" s="401">
        <f t="shared" si="9"/>
        <v>1</v>
      </c>
      <c r="H162" s="413" t="e">
        <f>F162/#REF!</f>
        <v>#REF!</v>
      </c>
      <c r="J162" s="434"/>
    </row>
    <row r="163" spans="1:16" ht="17.25" customHeight="1">
      <c r="A163" s="596"/>
      <c r="B163" s="596"/>
      <c r="C163" s="596"/>
      <c r="D163" s="412" t="s">
        <v>315</v>
      </c>
      <c r="E163" s="400">
        <v>2500</v>
      </c>
      <c r="F163" s="400">
        <v>2500</v>
      </c>
      <c r="G163" s="401">
        <f t="shared" si="9"/>
        <v>1</v>
      </c>
      <c r="H163" s="413" t="e">
        <f>F163/#REF!</f>
        <v>#REF!</v>
      </c>
    </row>
    <row r="164" spans="1:16" ht="18" customHeight="1">
      <c r="A164" s="596"/>
      <c r="B164" s="596"/>
      <c r="C164" s="598"/>
      <c r="D164" s="399" t="s">
        <v>470</v>
      </c>
      <c r="E164" s="411">
        <v>1500</v>
      </c>
      <c r="F164" s="411">
        <v>1500</v>
      </c>
      <c r="G164" s="401">
        <f t="shared" si="9"/>
        <v>1</v>
      </c>
      <c r="H164" s="413" t="e">
        <f>F164/#REF!</f>
        <v>#REF!</v>
      </c>
      <c r="I164" s="393"/>
      <c r="J164" s="393"/>
      <c r="K164" s="393"/>
      <c r="L164" s="393"/>
      <c r="M164" s="393"/>
      <c r="N164" s="393"/>
      <c r="O164" s="393"/>
      <c r="P164" s="393"/>
    </row>
    <row r="165" spans="1:16" ht="18" hidden="1" customHeight="1">
      <c r="A165" s="596"/>
      <c r="B165" s="596"/>
      <c r="C165" s="424"/>
      <c r="D165" s="399" t="s">
        <v>383</v>
      </c>
      <c r="E165" s="411">
        <v>0</v>
      </c>
      <c r="F165" s="411">
        <v>0</v>
      </c>
      <c r="G165" s="401" t="e">
        <f t="shared" si="9"/>
        <v>#DIV/0!</v>
      </c>
      <c r="H165" s="413" t="e">
        <f>F165/#REF!</f>
        <v>#REF!</v>
      </c>
      <c r="I165" s="393"/>
      <c r="J165" s="393"/>
      <c r="K165" s="393"/>
      <c r="L165" s="393"/>
      <c r="M165" s="393"/>
      <c r="N165" s="393"/>
      <c r="O165" s="393"/>
      <c r="P165" s="393"/>
    </row>
    <row r="166" spans="1:16" ht="15.75" customHeight="1">
      <c r="A166" s="610" t="str">
        <f>'Zbiorczo-paragr'!A636:D636</f>
        <v>85415 Pomoc materialna dla uczniów o charakterze socjalnym : Razem</v>
      </c>
      <c r="B166" s="611"/>
      <c r="C166" s="611"/>
      <c r="D166" s="611"/>
      <c r="E166" s="407">
        <f>SUM(E157+E162)</f>
        <v>69138</v>
      </c>
      <c r="F166" s="407">
        <f>SUM(F157+F162)</f>
        <v>72200</v>
      </c>
      <c r="G166" s="408">
        <f t="shared" si="9"/>
        <v>1.0442882351239551</v>
      </c>
      <c r="H166" s="413" t="e">
        <f>F166/#REF!</f>
        <v>#REF!</v>
      </c>
      <c r="I166" s="393"/>
      <c r="J166" s="393"/>
      <c r="K166" s="393"/>
      <c r="L166" s="393"/>
      <c r="M166" s="393"/>
      <c r="N166" s="393"/>
      <c r="O166" s="393"/>
      <c r="P166" s="393"/>
    </row>
    <row r="167" spans="1:16" ht="16.5" customHeight="1">
      <c r="A167" s="610" t="str">
        <f>'Zbiorczo-paragr'!A645:D645</f>
        <v xml:space="preserve">854 Edukacyjna opieka wychowawcza - Razem                          </v>
      </c>
      <c r="B167" s="611"/>
      <c r="C167" s="611"/>
      <c r="D167" s="611"/>
      <c r="E167" s="416">
        <f>SUM(E156+E166)</f>
        <v>269749</v>
      </c>
      <c r="F167" s="416">
        <f>SUM(F156+F166)</f>
        <v>357680</v>
      </c>
      <c r="G167" s="408">
        <f t="shared" si="9"/>
        <v>1.3259734049060423</v>
      </c>
      <c r="H167" s="413" t="e">
        <f>F167/#REF!</f>
        <v>#REF!</v>
      </c>
      <c r="I167" s="393"/>
      <c r="J167" s="393"/>
      <c r="K167" s="393"/>
      <c r="L167" s="393"/>
      <c r="M167" s="393"/>
      <c r="N167" s="393"/>
      <c r="O167" s="393"/>
      <c r="P167" s="393"/>
    </row>
    <row r="168" spans="1:16" ht="16.5" customHeight="1">
      <c r="A168" s="604">
        <v>855</v>
      </c>
      <c r="B168" s="604">
        <v>85505</v>
      </c>
      <c r="C168" s="604">
        <v>2830</v>
      </c>
      <c r="D168" s="412" t="str">
        <f>'Zbiorczo-paragr'!D646</f>
        <v>Dotacja celowa z budżetu na finansowanie lub dofinans.zadań zleconych do realizacji pozostałym jedn.niezalicz.do sektora finansów publicznych</v>
      </c>
      <c r="E168" s="400">
        <f>SUM(E169:E176)</f>
        <v>401820</v>
      </c>
      <c r="F168" s="400">
        <f>SUM(F169:F176)</f>
        <v>571200</v>
      </c>
      <c r="G168" s="401">
        <f t="shared" ref="G168:G182" si="10">SUM(F168/E168)</f>
        <v>1.4215320292668359</v>
      </c>
      <c r="H168" s="413"/>
      <c r="I168" s="393"/>
      <c r="J168" s="393"/>
      <c r="K168" s="393"/>
      <c r="L168" s="393"/>
      <c r="M168" s="393"/>
      <c r="N168" s="393"/>
      <c r="O168" s="393"/>
      <c r="P168" s="393"/>
    </row>
    <row r="169" spans="1:16" ht="16.5" customHeight="1">
      <c r="A169" s="606"/>
      <c r="B169" s="605"/>
      <c r="C169" s="606"/>
      <c r="D169" s="430" t="str">
        <f>'Zbiorczo-paragr'!D647</f>
        <v>niepubliczny żłobek "Mały Antoś" w Michałowicach</v>
      </c>
      <c r="E169" s="400">
        <v>31920</v>
      </c>
      <c r="F169" s="400">
        <f>'Niepubl placówki'!E120</f>
        <v>0</v>
      </c>
      <c r="G169" s="401">
        <f t="shared" si="10"/>
        <v>0</v>
      </c>
      <c r="H169" s="413"/>
      <c r="I169" s="393"/>
      <c r="J169" s="393"/>
      <c r="K169" s="393"/>
      <c r="L169" s="393"/>
      <c r="M169" s="393"/>
      <c r="N169" s="393"/>
      <c r="O169" s="393"/>
      <c r="P169" s="393"/>
    </row>
    <row r="170" spans="1:16" ht="16.5" customHeight="1">
      <c r="A170" s="606"/>
      <c r="B170" s="605"/>
      <c r="C170" s="606"/>
      <c r="D170" s="430" t="str">
        <f>'Zbiorczo-paragr'!D648</f>
        <v>niepubliczny żłobek "Misie Patysie" w Nowej Wsi</v>
      </c>
      <c r="E170" s="400">
        <v>45820</v>
      </c>
      <c r="F170" s="400">
        <f>'Niepubl placówki'!E121</f>
        <v>109200</v>
      </c>
      <c r="G170" s="401">
        <f t="shared" si="10"/>
        <v>2.3832387603666523</v>
      </c>
      <c r="H170" s="413"/>
      <c r="I170" s="393"/>
      <c r="J170" s="393"/>
      <c r="K170" s="393"/>
      <c r="L170" s="393"/>
      <c r="M170" s="393"/>
      <c r="N170" s="393"/>
      <c r="O170" s="393"/>
      <c r="P170" s="393"/>
    </row>
    <row r="171" spans="1:16" ht="16.5" customHeight="1">
      <c r="A171" s="606"/>
      <c r="B171" s="605"/>
      <c r="C171" s="606"/>
      <c r="D171" s="430" t="str">
        <f>'Zbiorczo-paragr'!D649</f>
        <v>niepubliczny żłobek w Komorowie przy Turkusowej</v>
      </c>
      <c r="E171" s="400">
        <v>105940</v>
      </c>
      <c r="F171" s="400">
        <f>'Niepubl placówki'!E122</f>
        <v>210000</v>
      </c>
      <c r="G171" s="401">
        <f t="shared" si="10"/>
        <v>1.9822541060977912</v>
      </c>
      <c r="H171" s="413"/>
      <c r="I171" s="393"/>
      <c r="J171" s="393"/>
      <c r="K171" s="393"/>
      <c r="L171" s="393"/>
      <c r="M171" s="393"/>
      <c r="N171" s="393"/>
      <c r="O171" s="393"/>
      <c r="P171" s="393"/>
    </row>
    <row r="172" spans="1:16" ht="16.5" customHeight="1">
      <c r="A172" s="606"/>
      <c r="B172" s="605"/>
      <c r="C172" s="606"/>
      <c r="D172" s="430" t="str">
        <f>'Zbiorczo-paragr'!D650</f>
        <v>niepubliczny żłobek "Smykusie" w Komorowie</v>
      </c>
      <c r="E172" s="400">
        <v>14400</v>
      </c>
      <c r="F172" s="400">
        <f>'Niepubl placówki'!E123</f>
        <v>0</v>
      </c>
      <c r="G172" s="401">
        <f t="shared" si="10"/>
        <v>0</v>
      </c>
      <c r="H172" s="413"/>
      <c r="I172" s="393"/>
      <c r="J172" s="393"/>
      <c r="K172" s="393"/>
      <c r="L172" s="393"/>
      <c r="M172" s="393"/>
      <c r="N172" s="393"/>
      <c r="O172" s="393"/>
      <c r="P172" s="393"/>
    </row>
    <row r="173" spans="1:16" ht="16.5" customHeight="1">
      <c r="A173" s="606"/>
      <c r="B173" s="605"/>
      <c r="C173" s="606"/>
      <c r="D173" s="430" t="str">
        <f>'Zbiorczo-paragr'!D651</f>
        <v>niepubliczny żłobek "Krokodylek" w Regułach</v>
      </c>
      <c r="E173" s="400">
        <v>12920</v>
      </c>
      <c r="F173" s="400">
        <f>'Niepubl placówki'!E124</f>
        <v>0</v>
      </c>
      <c r="G173" s="401">
        <f t="shared" si="10"/>
        <v>0</v>
      </c>
      <c r="H173" s="413"/>
      <c r="I173" s="393"/>
      <c r="J173" s="393"/>
      <c r="K173" s="393"/>
      <c r="L173" s="393"/>
      <c r="M173" s="393"/>
      <c r="N173" s="393"/>
      <c r="O173" s="393"/>
      <c r="P173" s="393"/>
    </row>
    <row r="174" spans="1:16" ht="16.5" customHeight="1">
      <c r="A174" s="606"/>
      <c r="B174" s="605"/>
      <c r="C174" s="606"/>
      <c r="D174" s="430" t="str">
        <f>'Zbiorczo-paragr'!D652</f>
        <v>niepubliczny żłobek "Sasanka" w Nowej Wsi</v>
      </c>
      <c r="E174" s="400">
        <v>108920</v>
      </c>
      <c r="F174" s="400">
        <f>'Niepubl placówki'!E125</f>
        <v>120000</v>
      </c>
      <c r="G174" s="401">
        <f t="shared" si="10"/>
        <v>1.1017260374586852</v>
      </c>
      <c r="H174" s="413"/>
      <c r="I174" s="393"/>
      <c r="J174" s="393"/>
      <c r="K174" s="393"/>
      <c r="L174" s="393"/>
      <c r="M174" s="393"/>
      <c r="N174" s="393"/>
      <c r="O174" s="393"/>
      <c r="P174" s="393"/>
    </row>
    <row r="175" spans="1:16" ht="16.5" customHeight="1">
      <c r="A175" s="606"/>
      <c r="B175" s="605"/>
      <c r="C175" s="606"/>
      <c r="D175" s="430" t="str">
        <f>'Zbiorczo-paragr'!D653</f>
        <v>niepubliczny żłobek "Radosny Brzdąc" w Komorowie</v>
      </c>
      <c r="E175" s="400">
        <v>43500</v>
      </c>
      <c r="F175" s="400">
        <f>'Niepubl placówki'!E126</f>
        <v>48000</v>
      </c>
      <c r="G175" s="401">
        <f t="shared" si="10"/>
        <v>1.103448275862069</v>
      </c>
      <c r="H175" s="413"/>
      <c r="I175" s="393"/>
      <c r="J175" s="393"/>
      <c r="K175" s="393"/>
      <c r="L175" s="393"/>
      <c r="M175" s="393"/>
      <c r="N175" s="393"/>
      <c r="O175" s="393"/>
      <c r="P175" s="393"/>
    </row>
    <row r="176" spans="1:16" ht="16.5" customHeight="1">
      <c r="A176" s="606"/>
      <c r="B176" s="605"/>
      <c r="C176" s="606"/>
      <c r="D176" s="430" t="str">
        <f>'Zbiorczo-paragr'!D654</f>
        <v>niepubliczny żłobek "Gumisiowy Raj" w Regułach</v>
      </c>
      <c r="E176" s="400">
        <v>38400</v>
      </c>
      <c r="F176" s="400">
        <f>'Niepubl placówki'!E127</f>
        <v>84000</v>
      </c>
      <c r="G176" s="401">
        <f t="shared" si="10"/>
        <v>2.1875</v>
      </c>
      <c r="H176" s="413"/>
      <c r="I176" s="393"/>
      <c r="J176" s="393"/>
      <c r="K176" s="393"/>
      <c r="L176" s="393"/>
      <c r="M176" s="393"/>
      <c r="N176" s="393"/>
      <c r="O176" s="393"/>
      <c r="P176" s="393"/>
    </row>
    <row r="177" spans="1:16" ht="16.5" customHeight="1">
      <c r="A177" s="435" t="str">
        <f>'Zbiorczo-paragr'!A655:D655</f>
        <v>85505 Tworzenie i funkcjonowanie żłobków: Razem</v>
      </c>
      <c r="B177" s="436"/>
      <c r="C177" s="436"/>
      <c r="D177" s="437"/>
      <c r="E177" s="416">
        <f>SUM(E168)</f>
        <v>401820</v>
      </c>
      <c r="F177" s="416">
        <f>SUM(F168)</f>
        <v>571200</v>
      </c>
      <c r="G177" s="408">
        <f t="shared" si="10"/>
        <v>1.4215320292668359</v>
      </c>
      <c r="H177" s="413"/>
      <c r="I177" s="393"/>
      <c r="J177" s="393"/>
      <c r="K177" s="393"/>
      <c r="L177" s="393"/>
      <c r="M177" s="393"/>
      <c r="N177" s="393"/>
      <c r="O177" s="393"/>
      <c r="P177" s="393"/>
    </row>
    <row r="178" spans="1:16" ht="16.5" customHeight="1">
      <c r="A178" s="604">
        <v>855</v>
      </c>
      <c r="B178" s="604">
        <v>85506</v>
      </c>
      <c r="C178" s="604">
        <v>2830</v>
      </c>
      <c r="D178" s="412" t="s">
        <v>382</v>
      </c>
      <c r="E178" s="438">
        <f>E179+E180</f>
        <v>42100</v>
      </c>
      <c r="F178" s="438">
        <f>F179+F180</f>
        <v>50400</v>
      </c>
      <c r="G178" s="401">
        <f t="shared" si="10"/>
        <v>1.1971496437054632</v>
      </c>
      <c r="H178" s="413"/>
      <c r="I178" s="393"/>
      <c r="J178" s="393"/>
      <c r="K178" s="393"/>
      <c r="L178" s="393"/>
      <c r="M178" s="393"/>
      <c r="N178" s="393"/>
      <c r="O178" s="393"/>
      <c r="P178" s="393"/>
    </row>
    <row r="179" spans="1:16" ht="16.5" customHeight="1">
      <c r="A179" s="606"/>
      <c r="B179" s="605"/>
      <c r="C179" s="605"/>
      <c r="D179" s="430" t="str">
        <f>'Zbiorczo-paragr'!D657</f>
        <v>niepubliczny klub dziecięcy "Prestige for Kids" w Komorowie</v>
      </c>
      <c r="E179" s="438">
        <v>19650</v>
      </c>
      <c r="F179" s="438">
        <f>'Niepubl placówki'!E131</f>
        <v>50400</v>
      </c>
      <c r="G179" s="401">
        <f t="shared" si="10"/>
        <v>2.5648854961832059</v>
      </c>
      <c r="H179" s="413"/>
      <c r="I179" s="393"/>
      <c r="J179" s="393"/>
      <c r="K179" s="393"/>
      <c r="L179" s="393"/>
      <c r="M179" s="393"/>
      <c r="N179" s="393"/>
      <c r="O179" s="393"/>
      <c r="P179" s="393"/>
    </row>
    <row r="180" spans="1:16" ht="16.5" customHeight="1">
      <c r="A180" s="633"/>
      <c r="B180" s="613"/>
      <c r="C180" s="613"/>
      <c r="D180" s="430" t="str">
        <f>'Zbiorczo-paragr'!D658</f>
        <v>niepubliczny klub katolicki "Baśniowa Kraina" w Opaczy</v>
      </c>
      <c r="E180" s="438">
        <v>22450</v>
      </c>
      <c r="F180" s="438">
        <f>'Niepubl placówki'!E132</f>
        <v>0</v>
      </c>
      <c r="G180" s="401">
        <f t="shared" si="10"/>
        <v>0</v>
      </c>
      <c r="H180" s="413"/>
      <c r="I180" s="393"/>
      <c r="J180" s="393"/>
      <c r="K180" s="393"/>
      <c r="L180" s="393"/>
      <c r="M180" s="393"/>
      <c r="N180" s="393"/>
      <c r="O180" s="393"/>
      <c r="P180" s="393"/>
    </row>
    <row r="181" spans="1:16" ht="16.5" customHeight="1">
      <c r="A181" s="642" t="s">
        <v>491</v>
      </c>
      <c r="B181" s="643"/>
      <c r="C181" s="643"/>
      <c r="D181" s="644"/>
      <c r="E181" s="439">
        <f>E178</f>
        <v>42100</v>
      </c>
      <c r="F181" s="439">
        <f>F178</f>
        <v>50400</v>
      </c>
      <c r="G181" s="408">
        <f t="shared" si="10"/>
        <v>1.1971496437054632</v>
      </c>
      <c r="H181" s="413"/>
      <c r="I181" s="393"/>
      <c r="J181" s="393"/>
      <c r="K181" s="393"/>
      <c r="L181" s="393"/>
      <c r="M181" s="393"/>
      <c r="N181" s="393"/>
      <c r="O181" s="393"/>
      <c r="P181" s="393"/>
    </row>
    <row r="182" spans="1:16" ht="16.5" customHeight="1">
      <c r="A182" s="634" t="str">
        <f>'Zbiorczo-paragr'!A660:D660</f>
        <v>855 Rodzina- Razem</v>
      </c>
      <c r="B182" s="635"/>
      <c r="C182" s="635"/>
      <c r="D182" s="636"/>
      <c r="E182" s="416">
        <f>E177+E181</f>
        <v>443920</v>
      </c>
      <c r="F182" s="416">
        <f>F177+F181</f>
        <v>621600</v>
      </c>
      <c r="G182" s="408">
        <f t="shared" si="10"/>
        <v>1.4002522977112994</v>
      </c>
      <c r="H182" s="413"/>
      <c r="I182" s="393"/>
      <c r="J182" s="393"/>
      <c r="K182" s="393"/>
      <c r="L182" s="393"/>
      <c r="M182" s="393"/>
      <c r="N182" s="393"/>
      <c r="O182" s="393"/>
      <c r="P182" s="393"/>
    </row>
    <row r="183" spans="1:16" ht="15.75" customHeight="1">
      <c r="A183" s="617" t="str">
        <f>'Zbiorczo-paragr'!A661:D661</f>
        <v>WYDATKI OGÓŁEM</v>
      </c>
      <c r="B183" s="618"/>
      <c r="C183" s="618"/>
      <c r="D183" s="619"/>
      <c r="E183" s="440">
        <f>SUM(E36+E142+E146+E182+E167)</f>
        <v>9850766.3599999994</v>
      </c>
      <c r="F183" s="440">
        <f>SUM(F36+F142+F146+F182+F167)</f>
        <v>10762348</v>
      </c>
      <c r="G183" s="408">
        <f t="shared" si="9"/>
        <v>1.0925391595624039</v>
      </c>
      <c r="H183" s="413" t="e">
        <f>F183/#REF!</f>
        <v>#REF!</v>
      </c>
      <c r="I183" s="418"/>
      <c r="J183" s="393"/>
      <c r="K183" s="393"/>
      <c r="L183" s="393"/>
      <c r="M183" s="393"/>
      <c r="N183" s="393"/>
      <c r="O183" s="393"/>
      <c r="P183" s="393"/>
    </row>
    <row r="184" spans="1:16">
      <c r="I184" s="393"/>
      <c r="J184" s="393"/>
      <c r="K184" s="393"/>
      <c r="L184" s="393"/>
      <c r="M184" s="393"/>
      <c r="N184" s="393"/>
      <c r="O184" s="393"/>
      <c r="P184" s="393"/>
    </row>
    <row r="185" spans="1:16" ht="33" hidden="1" customHeight="1">
      <c r="A185" s="612" t="s">
        <v>658</v>
      </c>
      <c r="B185" s="612"/>
      <c r="C185" s="612"/>
      <c r="D185" s="612"/>
      <c r="E185" s="442"/>
      <c r="F185" s="442"/>
      <c r="G185" s="443"/>
      <c r="I185" s="393"/>
      <c r="J185" s="393"/>
      <c r="K185" s="393"/>
      <c r="L185" s="393"/>
      <c r="M185" s="393"/>
      <c r="N185" s="393"/>
      <c r="O185" s="393"/>
      <c r="P185" s="393"/>
    </row>
    <row r="186" spans="1:16" hidden="1">
      <c r="A186" s="615" t="s">
        <v>303</v>
      </c>
      <c r="B186" s="616"/>
      <c r="C186" s="616"/>
      <c r="D186" s="616"/>
      <c r="E186" s="616"/>
      <c r="F186" s="616"/>
      <c r="G186" s="616"/>
      <c r="I186" s="393"/>
      <c r="J186" s="393"/>
      <c r="K186" s="393"/>
      <c r="L186" s="393"/>
      <c r="M186" s="393"/>
      <c r="N186" s="393"/>
      <c r="O186" s="393"/>
      <c r="P186" s="393"/>
    </row>
    <row r="187" spans="1:16" ht="18.75" customHeight="1">
      <c r="A187" s="614" t="s">
        <v>582</v>
      </c>
      <c r="B187" s="614"/>
      <c r="C187" s="614"/>
      <c r="D187" s="614"/>
      <c r="E187" s="444">
        <f>SUM(F36-F34)/11.5*3</f>
        <v>347003.47826086957</v>
      </c>
      <c r="F187" s="444">
        <f>F36-E187</f>
        <v>983176.52173913037</v>
      </c>
      <c r="G187" s="445"/>
    </row>
    <row r="188" spans="1:16" ht="13.5" customHeight="1">
      <c r="A188" s="608"/>
      <c r="B188" s="609"/>
      <c r="C188" s="609"/>
      <c r="D188" s="609"/>
      <c r="E188" s="609"/>
      <c r="F188" s="609"/>
      <c r="G188" s="609"/>
    </row>
    <row r="189" spans="1:16" ht="15" customHeight="1">
      <c r="B189" s="445"/>
      <c r="C189" s="445"/>
      <c r="D189" s="445"/>
      <c r="E189" s="444">
        <f>F36/11.5*1</f>
        <v>115667.82608695653</v>
      </c>
      <c r="F189" s="444">
        <f>F36-E189</f>
        <v>1214512.1739130435</v>
      </c>
    </row>
    <row r="190" spans="1:16" ht="15" customHeight="1">
      <c r="A190" s="607"/>
      <c r="B190" s="607"/>
      <c r="C190" s="607"/>
      <c r="D190" s="446"/>
    </row>
    <row r="192" spans="1:16">
      <c r="E192" s="441">
        <f>460.35-312.59</f>
        <v>147.76000000000005</v>
      </c>
    </row>
    <row r="193" spans="5:5">
      <c r="E193" s="441">
        <f>584.1+312.59</f>
        <v>896.69</v>
      </c>
    </row>
    <row r="194" spans="5:5">
      <c r="E194" s="441">
        <f>147.76+24.75+896.69</f>
        <v>1069.2</v>
      </c>
    </row>
    <row r="195" spans="5:5">
      <c r="E195" s="441">
        <f>524.7+544.5</f>
        <v>1069.2</v>
      </c>
    </row>
  </sheetData>
  <mergeCells count="68">
    <mergeCell ref="A127:A128"/>
    <mergeCell ref="B143:B144"/>
    <mergeCell ref="A147:A155"/>
    <mergeCell ref="C130:C132"/>
    <mergeCell ref="C137:C138"/>
    <mergeCell ref="C139:C140"/>
    <mergeCell ref="B147:B155"/>
    <mergeCell ref="C147:C155"/>
    <mergeCell ref="A168:A176"/>
    <mergeCell ref="B168:B176"/>
    <mergeCell ref="A166:D166"/>
    <mergeCell ref="A141:D141"/>
    <mergeCell ref="A47:A84"/>
    <mergeCell ref="A86:A108"/>
    <mergeCell ref="C103:C108"/>
    <mergeCell ref="B86:B108"/>
    <mergeCell ref="C86:C102"/>
    <mergeCell ref="B130:B140"/>
    <mergeCell ref="A182:D182"/>
    <mergeCell ref="A142:D142"/>
    <mergeCell ref="A143:A144"/>
    <mergeCell ref="A146:D146"/>
    <mergeCell ref="A145:D145"/>
    <mergeCell ref="A129:D129"/>
    <mergeCell ref="C133:C134"/>
    <mergeCell ref="A181:D181"/>
    <mergeCell ref="A156:D156"/>
    <mergeCell ref="A130:A140"/>
    <mergeCell ref="A39:D39"/>
    <mergeCell ref="A40:A45"/>
    <mergeCell ref="C47:C68"/>
    <mergeCell ref="C157:C160"/>
    <mergeCell ref="A178:A180"/>
    <mergeCell ref="B178:B180"/>
    <mergeCell ref="A85:D85"/>
    <mergeCell ref="C162:C164"/>
    <mergeCell ref="C114:C125"/>
    <mergeCell ref="C168:C176"/>
    <mergeCell ref="A1:G1"/>
    <mergeCell ref="A46:D46"/>
    <mergeCell ref="B47:B84"/>
    <mergeCell ref="B40:B45"/>
    <mergeCell ref="C40:C43"/>
    <mergeCell ref="C69:C78"/>
    <mergeCell ref="A36:D36"/>
    <mergeCell ref="C37:C38"/>
    <mergeCell ref="A37:A38"/>
    <mergeCell ref="B37:B38"/>
    <mergeCell ref="A190:C190"/>
    <mergeCell ref="B157:B165"/>
    <mergeCell ref="A157:A165"/>
    <mergeCell ref="A188:G188"/>
    <mergeCell ref="A167:D167"/>
    <mergeCell ref="A185:D185"/>
    <mergeCell ref="C178:C180"/>
    <mergeCell ref="A187:D187"/>
    <mergeCell ref="A186:G186"/>
    <mergeCell ref="A183:D183"/>
    <mergeCell ref="A126:D126"/>
    <mergeCell ref="A114:A125"/>
    <mergeCell ref="C135:C136"/>
    <mergeCell ref="C110:C112"/>
    <mergeCell ref="A109:D109"/>
    <mergeCell ref="B110:B112"/>
    <mergeCell ref="A113:D113"/>
    <mergeCell ref="A110:A112"/>
    <mergeCell ref="B114:B125"/>
    <mergeCell ref="B127:B128"/>
  </mergeCells>
  <phoneticPr fontId="4" type="noConversion"/>
  <pageMargins left="0.19685039370078741" right="0.19685039370078741" top="0.98425196850393704" bottom="1.1811023622047245" header="0.51181102362204722" footer="0.51181102362204722"/>
  <pageSetup paperSize="9" scale="69" orientation="portrait" r:id="rId1"/>
  <headerFooter alignWithMargins="0"/>
  <rowBreaks count="4" manualBreakCount="4">
    <brk id="46" max="8" man="1"/>
    <brk id="85" max="8" man="1"/>
    <brk id="142" max="8" man="1"/>
    <brk id="187" max="8" man="1"/>
  </rowBreaks>
</worksheet>
</file>

<file path=xl/worksheets/sheet7.xml><?xml version="1.0" encoding="utf-8"?>
<worksheet xmlns="http://schemas.openxmlformats.org/spreadsheetml/2006/main" xmlns:r="http://schemas.openxmlformats.org/officeDocument/2006/relationships">
  <dimension ref="A1:M150"/>
  <sheetViews>
    <sheetView topLeftCell="A115" zoomScaleNormal="100" zoomScaleSheetLayoutView="100" workbookViewId="0">
      <selection activeCell="F126" sqref="F125:F126"/>
    </sheetView>
  </sheetViews>
  <sheetFormatPr defaultRowHeight="15"/>
  <cols>
    <col min="1" max="1" width="4" style="47" customWidth="1"/>
    <col min="2" max="2" width="79.28515625" style="47" customWidth="1"/>
    <col min="3" max="3" width="10.85546875" style="47" customWidth="1"/>
    <col min="4" max="4" width="11.140625" style="152" customWidth="1"/>
    <col min="5" max="5" width="15.28515625" style="47" customWidth="1"/>
    <col min="6" max="6" width="11" style="56" customWidth="1"/>
    <col min="7" max="7" width="14" style="47" customWidth="1"/>
    <col min="8" max="8" width="11.7109375" style="47" customWidth="1"/>
    <col min="9" max="9" width="9.140625" style="47"/>
    <col min="10" max="10" width="11.7109375" style="47" bestFit="1" customWidth="1"/>
    <col min="11" max="11" width="9.28515625" style="47" bestFit="1" customWidth="1"/>
    <col min="12" max="12" width="10.140625" style="47" bestFit="1" customWidth="1"/>
    <col min="13" max="16384" width="9.140625" style="47"/>
  </cols>
  <sheetData>
    <row r="1" spans="1:13" ht="39.75" customHeight="1">
      <c r="A1" s="20"/>
      <c r="B1" s="65" t="s">
        <v>38</v>
      </c>
      <c r="C1" s="65" t="s">
        <v>7</v>
      </c>
      <c r="D1" s="110" t="s">
        <v>25</v>
      </c>
      <c r="E1" s="32" t="s">
        <v>26</v>
      </c>
      <c r="F1" s="166"/>
      <c r="G1" s="98"/>
      <c r="H1" s="62"/>
      <c r="K1" s="152"/>
      <c r="L1" s="152"/>
      <c r="M1" s="152"/>
    </row>
    <row r="2" spans="1:13" ht="20.25" customHeight="1">
      <c r="A2" s="20">
        <v>1</v>
      </c>
      <c r="B2" s="27" t="s">
        <v>584</v>
      </c>
      <c r="C2" s="20">
        <v>8</v>
      </c>
      <c r="D2" s="82">
        <v>330</v>
      </c>
      <c r="E2" s="82">
        <f>SUM(C2*D2)*12</f>
        <v>31680</v>
      </c>
      <c r="F2" s="167"/>
      <c r="G2" s="168"/>
      <c r="H2" s="168"/>
      <c r="K2" s="152"/>
      <c r="L2" s="152"/>
      <c r="M2" s="152"/>
    </row>
    <row r="3" spans="1:13" ht="22.5" customHeight="1">
      <c r="A3" s="20">
        <v>2</v>
      </c>
      <c r="B3" s="27" t="s">
        <v>700</v>
      </c>
      <c r="C3" s="20">
        <v>0</v>
      </c>
      <c r="D3" s="82">
        <v>420</v>
      </c>
      <c r="E3" s="82">
        <f>SUM(C3*D3)*12</f>
        <v>0</v>
      </c>
      <c r="F3" s="167"/>
      <c r="G3" s="168"/>
      <c r="H3" s="168"/>
      <c r="K3" s="152"/>
      <c r="L3" s="152"/>
      <c r="M3" s="152"/>
    </row>
    <row r="4" spans="1:13" ht="30.75" customHeight="1">
      <c r="A4" s="20"/>
      <c r="B4" s="65" t="s">
        <v>326</v>
      </c>
      <c r="C4" s="32">
        <f>SUM(C2:C3)</f>
        <v>8</v>
      </c>
      <c r="D4" s="82"/>
      <c r="E4" s="84">
        <f>SUM(E2:E3)</f>
        <v>31680</v>
      </c>
      <c r="F4" s="167"/>
      <c r="G4" s="168"/>
      <c r="H4" s="168"/>
      <c r="K4" s="152"/>
      <c r="L4" s="152"/>
      <c r="M4" s="152"/>
    </row>
    <row r="5" spans="1:13" s="61" customFormat="1" ht="14.25" customHeight="1">
      <c r="A5" s="20">
        <v>1</v>
      </c>
      <c r="B5" s="20" t="str">
        <f>CUW!D48</f>
        <v xml:space="preserve">Przedszkole Niepubliczne Zgromadzenia Sióstr Misjonarek Świętej Rodziny w Komorowie                </v>
      </c>
      <c r="C5" s="27">
        <v>100</v>
      </c>
      <c r="D5" s="108">
        <f>'Wylicz dotacji przedszk'!F14</f>
        <v>834.17653717127087</v>
      </c>
      <c r="E5" s="108">
        <f t="shared" ref="E5:E12" si="0">SUM(C5*D5)*12-E17</f>
        <v>790561.84460552502</v>
      </c>
      <c r="F5" s="169"/>
      <c r="G5" s="78"/>
      <c r="H5" s="78"/>
    </row>
    <row r="6" spans="1:13" s="61" customFormat="1" ht="14.25" customHeight="1">
      <c r="A6" s="20">
        <v>2</v>
      </c>
      <c r="B6" s="20" t="str">
        <f>CUW!D49</f>
        <v xml:space="preserve">Przedszkole Niepubliczne Sióstr Służebniczek NMP w Komorowie            </v>
      </c>
      <c r="C6" s="27">
        <v>49</v>
      </c>
      <c r="D6" s="108">
        <f>D5</f>
        <v>834.17653717127087</v>
      </c>
      <c r="E6" s="108">
        <f t="shared" si="0"/>
        <v>357210.80385670724</v>
      </c>
      <c r="G6" s="78"/>
      <c r="H6" s="78"/>
    </row>
    <row r="7" spans="1:13" s="61" customFormat="1" ht="14.25" customHeight="1">
      <c r="A7" s="20">
        <v>3</v>
      </c>
      <c r="B7" s="20" t="str">
        <f>CUW!D50</f>
        <v xml:space="preserve">Prywatne Przedszkole w Michałowicach               </v>
      </c>
      <c r="C7" s="20">
        <v>9</v>
      </c>
      <c r="D7" s="108">
        <f t="shared" ref="D7:D12" si="1">$D$5</f>
        <v>834.17653717127087</v>
      </c>
      <c r="E7" s="108">
        <f t="shared" si="0"/>
        <v>67643.06601449725</v>
      </c>
      <c r="F7" s="167"/>
      <c r="G7" s="78"/>
      <c r="H7" s="78"/>
    </row>
    <row r="8" spans="1:13" s="61" customFormat="1" ht="14.25" customHeight="1">
      <c r="A8" s="20">
        <v>4</v>
      </c>
      <c r="B8" s="20" t="str">
        <f>CUW!D51</f>
        <v xml:space="preserve">Przedszkole Niepubliczne "Zielone Przedszkole" w Komorowie-Granicy </v>
      </c>
      <c r="C8" s="20">
        <v>50</v>
      </c>
      <c r="D8" s="108">
        <f t="shared" si="1"/>
        <v>834.17653717127087</v>
      </c>
      <c r="E8" s="108">
        <f t="shared" si="0"/>
        <v>367220.92230276251</v>
      </c>
      <c r="F8" s="167"/>
      <c r="G8" s="78"/>
      <c r="H8" s="78"/>
    </row>
    <row r="9" spans="1:13" s="61" customFormat="1" ht="13.5" customHeight="1">
      <c r="A9" s="20">
        <v>5</v>
      </c>
      <c r="B9" s="20" t="str">
        <f>CUW!D52</f>
        <v>Przedszkole niepubliczne "Bavi" w Pęcicach</v>
      </c>
      <c r="C9" s="20">
        <v>90</v>
      </c>
      <c r="D9" s="108">
        <f t="shared" si="1"/>
        <v>834.17653717127087</v>
      </c>
      <c r="E9" s="108">
        <f t="shared" si="0"/>
        <v>690460.66014497261</v>
      </c>
      <c r="F9" s="169"/>
      <c r="G9" s="78"/>
      <c r="H9" s="78"/>
    </row>
    <row r="10" spans="1:13">
      <c r="A10" s="20">
        <v>6</v>
      </c>
      <c r="B10" s="20" t="str">
        <f>CUW!D53</f>
        <v>Przedszkole niepubliczne "Prestige for Kids" w Komorowie</v>
      </c>
      <c r="C10" s="20">
        <v>15</v>
      </c>
      <c r="D10" s="108">
        <f t="shared" si="1"/>
        <v>834.17653717127087</v>
      </c>
      <c r="E10" s="108">
        <f t="shared" si="0"/>
        <v>122091.77669082873</v>
      </c>
      <c r="F10" s="167"/>
      <c r="G10" s="78"/>
      <c r="H10" s="78"/>
    </row>
    <row r="11" spans="1:13" s="61" customFormat="1">
      <c r="A11" s="20">
        <v>7</v>
      </c>
      <c r="B11" s="20" t="str">
        <f>CUW!D54</f>
        <v xml:space="preserve">Przedszkole niepubliczne "Gumisiowy Raj" w Regułach        </v>
      </c>
      <c r="C11" s="20">
        <v>20</v>
      </c>
      <c r="D11" s="108">
        <f t="shared" si="1"/>
        <v>834.17653717127087</v>
      </c>
      <c r="E11" s="108">
        <f t="shared" si="0"/>
        <v>139873.36892110499</v>
      </c>
      <c r="F11" s="167"/>
      <c r="G11" s="78"/>
      <c r="H11" s="78"/>
    </row>
    <row r="12" spans="1:13" s="61" customFormat="1">
      <c r="A12" s="20">
        <v>8</v>
      </c>
      <c r="B12" s="20" t="str">
        <f>CUW!D55</f>
        <v>Przedszkole niepubliczne "Krokodylek" w Regułach</v>
      </c>
      <c r="C12" s="20">
        <v>30</v>
      </c>
      <c r="D12" s="108">
        <f t="shared" si="1"/>
        <v>834.17653717127087</v>
      </c>
      <c r="E12" s="108">
        <f t="shared" si="0"/>
        <v>174033.55338165746</v>
      </c>
      <c r="F12" s="167"/>
      <c r="G12" s="78"/>
      <c r="H12" s="78"/>
    </row>
    <row r="13" spans="1:13" s="61" customFormat="1">
      <c r="A13" s="20"/>
      <c r="B13" s="20" t="str">
        <f>CUW!D56</f>
        <v>Przedszkole niepubliczne "Krokodylek" w Regułach</v>
      </c>
      <c r="C13" s="20">
        <v>3</v>
      </c>
      <c r="D13" s="108">
        <f>'Wylicz dotacji przedszk'!F11</f>
        <v>1112.2353828950279</v>
      </c>
      <c r="E13" s="108">
        <f>SUM(C13*D13)*12</f>
        <v>40040.473784221002</v>
      </c>
      <c r="F13" s="167"/>
      <c r="G13" s="78"/>
      <c r="H13" s="78"/>
    </row>
    <row r="14" spans="1:13" s="61" customFormat="1">
      <c r="A14" s="20">
        <v>9</v>
      </c>
      <c r="B14" s="20" t="str">
        <f>CUW!D57</f>
        <v>Przedszkole niepubliczne "Dobre Przedszkole" w Komorowie</v>
      </c>
      <c r="C14" s="20">
        <v>24</v>
      </c>
      <c r="D14" s="108">
        <f>D5</f>
        <v>834.17653717127087</v>
      </c>
      <c r="E14" s="108">
        <f>SUM(C14*D14)*12-E25</f>
        <v>189734.84270532601</v>
      </c>
      <c r="F14" s="167"/>
      <c r="G14" s="78"/>
      <c r="H14" s="78"/>
    </row>
    <row r="15" spans="1:13" s="61" customFormat="1">
      <c r="A15" s="20">
        <v>10</v>
      </c>
      <c r="B15" s="20" t="str">
        <f>CUW!D58</f>
        <v>Przedszkole niepubliczne "Sasanka" w Nowej Wsi</v>
      </c>
      <c r="C15" s="20">
        <v>25</v>
      </c>
      <c r="D15" s="108">
        <f>D6</f>
        <v>834.17653717127087</v>
      </c>
      <c r="E15" s="108">
        <f>SUM(C15*D15)*12-E26</f>
        <v>196938.96115138126</v>
      </c>
      <c r="F15" s="167"/>
      <c r="G15" s="78"/>
      <c r="H15" s="78"/>
    </row>
    <row r="16" spans="1:13" s="61" customFormat="1">
      <c r="A16" s="20"/>
      <c r="B16" s="20"/>
      <c r="C16" s="32">
        <f>SUM(C5:C15)</f>
        <v>415</v>
      </c>
      <c r="D16" s="108"/>
      <c r="E16" s="108"/>
      <c r="F16" s="167"/>
      <c r="G16" s="78"/>
      <c r="H16" s="78"/>
    </row>
    <row r="17" spans="1:8" s="61" customFormat="1">
      <c r="A17" s="20"/>
      <c r="B17" s="20" t="str">
        <f>CUW!D59</f>
        <v xml:space="preserve">Przedszkole Niepubliczne Zgromadzenia Sióstr Misjonarek Świętej Rodziny w Komorowie- dotacja                </v>
      </c>
      <c r="C17" s="20">
        <v>150</v>
      </c>
      <c r="D17" s="108">
        <v>1403</v>
      </c>
      <c r="E17" s="108">
        <f>SUM(C17*D17)</f>
        <v>210450</v>
      </c>
      <c r="F17" s="167"/>
      <c r="G17" s="78"/>
      <c r="H17" s="78"/>
    </row>
    <row r="18" spans="1:8" s="61" customFormat="1">
      <c r="A18" s="20"/>
      <c r="B18" s="20" t="str">
        <f>CUW!D60</f>
        <v xml:space="preserve">Przedszkole Niepubliczne Sióstr Służebniczek NMP w Komorowie - dotacja           </v>
      </c>
      <c r="C18" s="20">
        <v>95</v>
      </c>
      <c r="D18" s="108">
        <f>$D$17</f>
        <v>1403</v>
      </c>
      <c r="E18" s="108">
        <f t="shared" ref="E18:E26" si="2">SUM(C18*D18)</f>
        <v>133285</v>
      </c>
      <c r="F18" s="167"/>
      <c r="G18" s="78"/>
      <c r="H18" s="78"/>
    </row>
    <row r="19" spans="1:8" s="61" customFormat="1">
      <c r="A19" s="20"/>
      <c r="B19" s="20" t="str">
        <f>CUW!D61</f>
        <v xml:space="preserve">Prywatne Przedszkole w Michałowicach - dotacja                       </v>
      </c>
      <c r="C19" s="20">
        <v>16</v>
      </c>
      <c r="D19" s="108">
        <f t="shared" ref="D19:D26" si="3">$D$17</f>
        <v>1403</v>
      </c>
      <c r="E19" s="108">
        <f t="shared" si="2"/>
        <v>22448</v>
      </c>
      <c r="F19" s="167"/>
      <c r="G19" s="78"/>
      <c r="H19" s="78"/>
    </row>
    <row r="20" spans="1:8" s="61" customFormat="1">
      <c r="A20" s="20"/>
      <c r="B20" s="20" t="str">
        <f>CUW!D62</f>
        <v xml:space="preserve">Przedszkole Niepubliczne "Zielone Przedszkole"Komorów-Granica - dotacja         </v>
      </c>
      <c r="C20" s="20">
        <v>95</v>
      </c>
      <c r="D20" s="108">
        <f t="shared" si="3"/>
        <v>1403</v>
      </c>
      <c r="E20" s="108">
        <f t="shared" si="2"/>
        <v>133285</v>
      </c>
      <c r="F20" s="167"/>
      <c r="G20" s="78"/>
      <c r="H20" s="78"/>
    </row>
    <row r="21" spans="1:8" s="61" customFormat="1">
      <c r="A21" s="20"/>
      <c r="B21" s="20" t="str">
        <f>CUW!D63</f>
        <v xml:space="preserve">Przedszkole niepubliczne "Bavi" w Pęcicach - dotacja         </v>
      </c>
      <c r="C21" s="20">
        <v>150</v>
      </c>
      <c r="D21" s="108">
        <f t="shared" si="3"/>
        <v>1403</v>
      </c>
      <c r="E21" s="108">
        <f t="shared" si="2"/>
        <v>210450</v>
      </c>
      <c r="F21" s="167"/>
      <c r="G21" s="78"/>
      <c r="H21" s="78"/>
    </row>
    <row r="22" spans="1:8" s="61" customFormat="1">
      <c r="A22" s="20"/>
      <c r="B22" s="20" t="str">
        <f>CUW!D64</f>
        <v xml:space="preserve">Przedszkole niepubliczne "Prestige for Kids" w Komorowie - dotacja         </v>
      </c>
      <c r="C22" s="20">
        <v>20</v>
      </c>
      <c r="D22" s="108">
        <f t="shared" si="3"/>
        <v>1403</v>
      </c>
      <c r="E22" s="108">
        <f t="shared" si="2"/>
        <v>28060</v>
      </c>
      <c r="F22" s="167"/>
      <c r="G22" s="78"/>
      <c r="H22" s="78"/>
    </row>
    <row r="23" spans="1:8" s="61" customFormat="1">
      <c r="A23" s="20"/>
      <c r="B23" s="20" t="str">
        <f>CUW!D65</f>
        <v xml:space="preserve">Przedszkole niepubliczne "Gumisiowy Raj" w Regułach - dotacja         </v>
      </c>
      <c r="C23" s="20">
        <v>43</v>
      </c>
      <c r="D23" s="108">
        <f t="shared" si="3"/>
        <v>1403</v>
      </c>
      <c r="E23" s="108">
        <f t="shared" si="2"/>
        <v>60329</v>
      </c>
      <c r="F23" s="167"/>
      <c r="G23" s="78"/>
      <c r="H23" s="78"/>
    </row>
    <row r="24" spans="1:8" s="61" customFormat="1">
      <c r="A24" s="20"/>
      <c r="B24" s="20" t="str">
        <f>CUW!D66</f>
        <v xml:space="preserve">Przedszkole niepubliczne "Krokodylek" w Regułach - dotacja         </v>
      </c>
      <c r="C24" s="20">
        <v>90</v>
      </c>
      <c r="D24" s="108">
        <f t="shared" si="3"/>
        <v>1403</v>
      </c>
      <c r="E24" s="108">
        <f t="shared" si="2"/>
        <v>126270</v>
      </c>
      <c r="F24" s="167"/>
      <c r="G24" s="78"/>
      <c r="H24" s="78"/>
    </row>
    <row r="25" spans="1:8" s="61" customFormat="1">
      <c r="A25" s="20"/>
      <c r="B25" s="20" t="str">
        <f>CUW!D67</f>
        <v xml:space="preserve">Przedszkole niepubliczne "Dobre Przedszkole" w Komorowie - dotacja         </v>
      </c>
      <c r="C25" s="20">
        <v>36</v>
      </c>
      <c r="D25" s="108">
        <f t="shared" si="3"/>
        <v>1403</v>
      </c>
      <c r="E25" s="108">
        <f t="shared" si="2"/>
        <v>50508</v>
      </c>
      <c r="F25" s="167"/>
      <c r="G25" s="78"/>
      <c r="H25" s="78"/>
    </row>
    <row r="26" spans="1:8" s="61" customFormat="1">
      <c r="A26" s="20"/>
      <c r="B26" s="20" t="str">
        <f>CUW!D68</f>
        <v xml:space="preserve">Przedszkole niepubliczne "Sasanka" w Nowej Wsi - dotacja         </v>
      </c>
      <c r="C26" s="20">
        <v>38</v>
      </c>
      <c r="D26" s="108">
        <f t="shared" si="3"/>
        <v>1403</v>
      </c>
      <c r="E26" s="108">
        <f t="shared" si="2"/>
        <v>53314</v>
      </c>
      <c r="F26" s="167">
        <f>SUM(E17:E26)</f>
        <v>1028399</v>
      </c>
      <c r="G26" s="170"/>
      <c r="H26" s="78"/>
    </row>
    <row r="27" spans="1:8" s="61" customFormat="1" ht="21.75" customHeight="1">
      <c r="A27" s="32"/>
      <c r="B27" s="65" t="s">
        <v>201</v>
      </c>
      <c r="C27" s="32">
        <f>SUM(C17:C26)</f>
        <v>733</v>
      </c>
      <c r="D27" s="84"/>
      <c r="E27" s="84">
        <f>SUM(E5:E26)</f>
        <v>4164209.2735589836</v>
      </c>
      <c r="G27" s="37"/>
      <c r="H27" s="37"/>
    </row>
    <row r="28" spans="1:8" s="61" customFormat="1" ht="15.75" customHeight="1">
      <c r="A28" s="20">
        <v>1</v>
      </c>
      <c r="B28" s="27" t="str">
        <f>'Zbiorczo-paragr'!D207</f>
        <v xml:space="preserve">Przedszkola niepubliczne w Warszawie           </v>
      </c>
      <c r="C28" s="20">
        <v>35</v>
      </c>
      <c r="D28" s="82">
        <v>680</v>
      </c>
      <c r="E28" s="82">
        <f>(C28*D28+C29*D29)*12</f>
        <v>526800</v>
      </c>
      <c r="F28" s="171"/>
      <c r="G28" s="37"/>
      <c r="H28" s="37"/>
    </row>
    <row r="29" spans="1:8" s="61" customFormat="1" ht="15.75" customHeight="1">
      <c r="A29" s="20">
        <v>2</v>
      </c>
      <c r="B29" s="27" t="str">
        <f>'Zbiorczo-paragr'!D208</f>
        <v>Przedszkola niepubliczne w  Pruszkowie</v>
      </c>
      <c r="C29" s="20">
        <v>30</v>
      </c>
      <c r="D29" s="82">
        <v>670</v>
      </c>
      <c r="E29" s="82">
        <f>(C29*D29+C30*D30)*12</f>
        <v>262800</v>
      </c>
      <c r="F29" s="171"/>
      <c r="G29" s="37"/>
      <c r="H29" s="37"/>
    </row>
    <row r="30" spans="1:8" s="61" customFormat="1" ht="16.5" customHeight="1">
      <c r="A30" s="20">
        <v>3</v>
      </c>
      <c r="B30" s="27" t="str">
        <f>'Zbiorczo-paragr'!D209</f>
        <v>Przedszkola niepubliczne w Piastowie</v>
      </c>
      <c r="C30" s="20">
        <v>3</v>
      </c>
      <c r="D30" s="82">
        <v>600</v>
      </c>
      <c r="E30" s="82">
        <f t="shared" ref="E30:E37" si="4">(C30*D30)*12</f>
        <v>21600</v>
      </c>
      <c r="F30" s="171"/>
      <c r="G30" s="37"/>
      <c r="H30" s="37"/>
    </row>
    <row r="31" spans="1:8" s="61" customFormat="1" ht="16.5" customHeight="1">
      <c r="A31" s="20">
        <v>4</v>
      </c>
      <c r="B31" s="27" t="str">
        <f>'Zbiorczo-paragr'!D210</f>
        <v>Przedszkola niepubliczne w Nadarzynie</v>
      </c>
      <c r="C31" s="20">
        <v>8</v>
      </c>
      <c r="D31" s="82">
        <v>960</v>
      </c>
      <c r="E31" s="82">
        <f t="shared" si="4"/>
        <v>92160</v>
      </c>
      <c r="F31" s="171"/>
      <c r="G31" s="37"/>
      <c r="H31" s="37"/>
    </row>
    <row r="32" spans="1:8" s="61" customFormat="1" ht="15.75" customHeight="1">
      <c r="A32" s="20">
        <v>5</v>
      </c>
      <c r="B32" s="27" t="str">
        <f>'Zbiorczo-paragr'!D211</f>
        <v>Przedszkola niepubliczne w Brwinowie</v>
      </c>
      <c r="C32" s="20">
        <v>4</v>
      </c>
      <c r="D32" s="82">
        <v>690</v>
      </c>
      <c r="E32" s="82">
        <f t="shared" si="4"/>
        <v>33120</v>
      </c>
      <c r="F32" s="171"/>
      <c r="G32" s="37"/>
      <c r="H32" s="37"/>
    </row>
    <row r="33" spans="1:10" s="61" customFormat="1" ht="18" customHeight="1">
      <c r="A33" s="20">
        <v>6</v>
      </c>
      <c r="B33" s="27" t="str">
        <f>'Zbiorczo-paragr'!D212</f>
        <v xml:space="preserve">Przedszkola niepubliczne w  Raszynie          </v>
      </c>
      <c r="C33" s="20">
        <v>5</v>
      </c>
      <c r="D33" s="82">
        <v>910</v>
      </c>
      <c r="E33" s="82">
        <f t="shared" si="4"/>
        <v>54600</v>
      </c>
      <c r="F33" s="171"/>
      <c r="G33" s="37"/>
      <c r="H33" s="37"/>
    </row>
    <row r="34" spans="1:10" s="61" customFormat="1" ht="16.5" customHeight="1">
      <c r="A34" s="20">
        <v>7</v>
      </c>
      <c r="B34" s="27" t="str">
        <f>'Zbiorczo-paragr'!D213</f>
        <v>Przedszkola niepubliczne w Milanówku</v>
      </c>
      <c r="C34" s="20">
        <v>0</v>
      </c>
      <c r="D34" s="82">
        <v>450</v>
      </c>
      <c r="E34" s="82">
        <f t="shared" si="4"/>
        <v>0</v>
      </c>
      <c r="F34" s="171"/>
      <c r="G34" s="37"/>
      <c r="H34" s="37"/>
    </row>
    <row r="35" spans="1:10" s="61" customFormat="1" ht="16.5" customHeight="1">
      <c r="A35" s="20">
        <v>8</v>
      </c>
      <c r="B35" s="27" t="str">
        <f>'Zbiorczo-paragr'!D214</f>
        <v>Przedszkola niepubliczne w Grodzisku Mazowieckim</v>
      </c>
      <c r="C35" s="20">
        <v>1</v>
      </c>
      <c r="D35" s="82">
        <v>500</v>
      </c>
      <c r="E35" s="82">
        <f t="shared" si="4"/>
        <v>6000</v>
      </c>
      <c r="F35" s="171"/>
      <c r="G35" s="37"/>
      <c r="H35" s="37"/>
    </row>
    <row r="36" spans="1:10" s="61" customFormat="1" ht="16.5" customHeight="1">
      <c r="A36" s="20">
        <v>9</v>
      </c>
      <c r="B36" s="27" t="str">
        <f>'Zbiorczo-paragr'!D215</f>
        <v>Przedszkola niepubliczne w Ożarowie Mazowieckim</v>
      </c>
      <c r="C36" s="20">
        <v>2</v>
      </c>
      <c r="D36" s="82">
        <v>625</v>
      </c>
      <c r="E36" s="82">
        <f t="shared" si="4"/>
        <v>15000</v>
      </c>
      <c r="F36" s="171"/>
      <c r="G36" s="37"/>
      <c r="H36" s="37"/>
    </row>
    <row r="37" spans="1:10" s="61" customFormat="1" ht="16.5" customHeight="1">
      <c r="A37" s="20">
        <v>10</v>
      </c>
      <c r="B37" s="27" t="str">
        <f>'Zbiorczo-paragr'!D218</f>
        <v>Przedszkola niepubliczne w Podkowie Leśnej</v>
      </c>
      <c r="C37" s="20">
        <v>0</v>
      </c>
      <c r="D37" s="82">
        <v>640</v>
      </c>
      <c r="E37" s="82">
        <f t="shared" si="4"/>
        <v>0</v>
      </c>
      <c r="F37" s="171"/>
      <c r="G37" s="37"/>
      <c r="H37" s="37"/>
    </row>
    <row r="38" spans="1:10" ht="21.75" customHeight="1">
      <c r="A38" s="20"/>
      <c r="B38" s="65" t="s">
        <v>325</v>
      </c>
      <c r="C38" s="32">
        <f>SUM(C28:C37)</f>
        <v>88</v>
      </c>
      <c r="D38" s="82"/>
      <c r="E38" s="84">
        <f>SUM(E28:E37)</f>
        <v>1012080</v>
      </c>
      <c r="F38" s="167"/>
      <c r="G38" s="168"/>
      <c r="H38" s="163"/>
    </row>
    <row r="39" spans="1:10" ht="18.75" customHeight="1">
      <c r="A39" s="20">
        <v>1</v>
      </c>
      <c r="B39" s="27" t="str">
        <f>'Zbiorczo-paragr'!D310</f>
        <v>Punkty przedszkolne w Warszawie</v>
      </c>
      <c r="C39" s="20">
        <v>5</v>
      </c>
      <c r="D39" s="108">
        <v>380</v>
      </c>
      <c r="E39" s="82">
        <f>SUM(C39*D39)*12</f>
        <v>22800</v>
      </c>
      <c r="F39" s="167"/>
      <c r="G39" s="98"/>
      <c r="H39" s="168"/>
    </row>
    <row r="40" spans="1:10" ht="18" customHeight="1">
      <c r="A40" s="20">
        <v>2</v>
      </c>
      <c r="B40" s="27" t="str">
        <f>'Zbiorczo-paragr'!D311</f>
        <v xml:space="preserve">Punkty przedszkolne w Pruszkowie     </v>
      </c>
      <c r="C40" s="20">
        <v>5</v>
      </c>
      <c r="D40" s="108">
        <v>310</v>
      </c>
      <c r="E40" s="82">
        <f>SUM(C40*D40)*12</f>
        <v>18600</v>
      </c>
      <c r="F40" s="167"/>
      <c r="G40" s="98"/>
      <c r="H40" s="168"/>
    </row>
    <row r="41" spans="1:10" ht="18.75" customHeight="1">
      <c r="A41" s="20">
        <v>3</v>
      </c>
      <c r="B41" s="27" t="str">
        <f>'Zbiorczo-paragr'!D312</f>
        <v>Punkty przedszkolne w Brwinowie</v>
      </c>
      <c r="C41" s="20">
        <v>2</v>
      </c>
      <c r="D41" s="108">
        <v>380</v>
      </c>
      <c r="E41" s="82">
        <f>SUM(C41*D41)*12</f>
        <v>9120</v>
      </c>
      <c r="F41" s="167"/>
      <c r="G41" s="98"/>
      <c r="H41" s="168"/>
    </row>
    <row r="42" spans="1:10" ht="19.5" customHeight="1">
      <c r="A42" s="20">
        <v>4</v>
      </c>
      <c r="B42" s="27" t="str">
        <f>'Zbiorczo-paragr'!D313</f>
        <v>Punkty przedszkolne w Piastowie</v>
      </c>
      <c r="C42" s="20">
        <v>2</v>
      </c>
      <c r="D42" s="108">
        <v>330</v>
      </c>
      <c r="E42" s="82">
        <f>SUM(C42*D42)*12</f>
        <v>7920</v>
      </c>
      <c r="F42" s="167"/>
      <c r="G42" s="98"/>
      <c r="H42" s="168"/>
    </row>
    <row r="43" spans="1:10" ht="19.5" customHeight="1">
      <c r="A43" s="20">
        <v>5</v>
      </c>
      <c r="B43" s="27" t="str">
        <f>'Zbiorczo-paragr'!D314</f>
        <v>Punkty przedszkolne w Raszynie</v>
      </c>
      <c r="C43" s="20">
        <v>2</v>
      </c>
      <c r="D43" s="108">
        <v>420</v>
      </c>
      <c r="E43" s="82">
        <f>SUM(C43*D43)*12</f>
        <v>10080</v>
      </c>
      <c r="F43" s="167"/>
      <c r="G43" s="98"/>
      <c r="H43" s="168"/>
    </row>
    <row r="44" spans="1:10" ht="20.25" customHeight="1">
      <c r="A44" s="20"/>
      <c r="B44" s="65" t="s">
        <v>327</v>
      </c>
      <c r="C44" s="172">
        <f>SUM(C39:C43)</f>
        <v>16</v>
      </c>
      <c r="D44" s="92"/>
      <c r="E44" s="91">
        <f>SUM(E39:E43)</f>
        <v>68520</v>
      </c>
      <c r="F44" s="173"/>
      <c r="G44" s="98"/>
      <c r="H44" s="174"/>
      <c r="J44" s="152"/>
    </row>
    <row r="45" spans="1:10">
      <c r="A45" s="20">
        <v>1</v>
      </c>
      <c r="B45" s="27" t="str">
        <f>CUW!D87</f>
        <v>Punk Przedszkolny "Antoś" w Michałowicach</v>
      </c>
      <c r="C45" s="20">
        <v>21</v>
      </c>
      <c r="D45" s="108">
        <f>'Wylicz dotacji przedszk'!F15</f>
        <v>444.89415315801119</v>
      </c>
      <c r="E45" s="82">
        <f>SUM(C45*D45)*12-E52</f>
        <v>112113.32659581881</v>
      </c>
      <c r="F45" s="167"/>
      <c r="G45" s="98"/>
      <c r="H45" s="168"/>
    </row>
    <row r="46" spans="1:10" ht="13.5" customHeight="1">
      <c r="A46" s="20">
        <v>2</v>
      </c>
      <c r="B46" s="27" t="str">
        <f>CUW!D88</f>
        <v>Punk Przedszkolny "Misie Patysie" w Nowej Wsi</v>
      </c>
      <c r="C46" s="20">
        <v>15</v>
      </c>
      <c r="D46" s="108">
        <f t="shared" ref="D46:D51" si="5">$D$45</f>
        <v>444.89415315801119</v>
      </c>
      <c r="E46" s="82">
        <f>SUM(C46*D46)*12-E54</f>
        <v>80080.947568442018</v>
      </c>
      <c r="F46" s="167"/>
      <c r="G46" s="98"/>
      <c r="H46" s="168"/>
    </row>
    <row r="47" spans="1:10">
      <c r="A47" s="20">
        <v>3</v>
      </c>
      <c r="B47" s="27" t="str">
        <f>CUW!D89</f>
        <v>Punk Przedszkolny Integracyjny "Słoneczna Kraina" w Nowej Wsi</v>
      </c>
      <c r="C47" s="20">
        <v>10</v>
      </c>
      <c r="D47" s="108">
        <f t="shared" si="5"/>
        <v>444.89415315801119</v>
      </c>
      <c r="E47" s="82">
        <f>SUM(C47*D47)*12-E55</f>
        <v>53387.298378961335</v>
      </c>
      <c r="F47" s="167"/>
      <c r="G47" s="98"/>
      <c r="H47" s="168"/>
    </row>
    <row r="48" spans="1:10">
      <c r="A48" s="20">
        <v>4</v>
      </c>
      <c r="B48" s="27" t="str">
        <f>CUW!D90</f>
        <v>Punk Przedszkolny "Słoneczna Kraina" w Komorowie</v>
      </c>
      <c r="C48" s="20">
        <v>9</v>
      </c>
      <c r="D48" s="108">
        <f t="shared" si="5"/>
        <v>444.89415315801119</v>
      </c>
      <c r="E48" s="82">
        <f>SUM(C48*D48)*12-E56</f>
        <v>48048.568541065208</v>
      </c>
      <c r="F48" s="167"/>
      <c r="G48" s="98"/>
      <c r="H48" s="168"/>
    </row>
    <row r="49" spans="1:8">
      <c r="A49" s="20">
        <v>5</v>
      </c>
      <c r="B49" s="27" t="str">
        <f>CUW!D91</f>
        <v>Punk Przedszkolny "Adaś" w Michałowicach</v>
      </c>
      <c r="C49" s="20">
        <v>18</v>
      </c>
      <c r="D49" s="108">
        <f t="shared" si="5"/>
        <v>444.89415315801119</v>
      </c>
      <c r="E49" s="82">
        <f>SUM(C49*D49)*12-E58</f>
        <v>96097.137082130415</v>
      </c>
      <c r="F49" s="167"/>
      <c r="G49" s="98"/>
      <c r="H49" s="168"/>
    </row>
    <row r="50" spans="1:8">
      <c r="A50" s="20">
        <v>6</v>
      </c>
      <c r="B50" s="27" t="str">
        <f>CUW!D92</f>
        <v>Punkt Przedszkolny inspirowany pedagogiką Waldorfską w Komorowie</v>
      </c>
      <c r="C50" s="20">
        <v>12</v>
      </c>
      <c r="D50" s="108">
        <f t="shared" si="5"/>
        <v>444.89415315801119</v>
      </c>
      <c r="E50" s="82">
        <f>SUM(C50*D50)*12-E59</f>
        <v>64064.758054753605</v>
      </c>
      <c r="F50" s="167"/>
      <c r="G50" s="98"/>
      <c r="H50" s="168"/>
    </row>
    <row r="51" spans="1:8" ht="13.5" customHeight="1">
      <c r="A51" s="20">
        <v>7</v>
      </c>
      <c r="B51" s="27" t="str">
        <f>CUW!D93</f>
        <v xml:space="preserve">Punk przedszkolny terapeutyczny "Pierwsze kroki" w Regułach </v>
      </c>
      <c r="C51" s="20">
        <v>0</v>
      </c>
      <c r="D51" s="108">
        <f t="shared" si="5"/>
        <v>444.89415315801119</v>
      </c>
      <c r="E51" s="82">
        <f>SUM(C51*D51)*12-E60</f>
        <v>0</v>
      </c>
      <c r="F51" s="167"/>
      <c r="G51" s="98"/>
      <c r="H51" s="168"/>
    </row>
    <row r="52" spans="1:8" ht="15.75" hidden="1" customHeight="1">
      <c r="A52" s="20"/>
      <c r="B52" s="27" t="str">
        <f>CUW!D94</f>
        <v>Punk Przedszkolny "Antoś" w Michałowicach - dotacja</v>
      </c>
      <c r="C52" s="20">
        <v>0</v>
      </c>
      <c r="D52" s="108">
        <v>1338</v>
      </c>
      <c r="E52" s="82">
        <f>SUM(C52*D52)</f>
        <v>0</v>
      </c>
      <c r="F52" s="167"/>
      <c r="G52" s="98"/>
      <c r="H52" s="168"/>
    </row>
    <row r="53" spans="1:8" ht="15" hidden="1" customHeight="1">
      <c r="A53" s="20"/>
      <c r="B53" s="27" t="str">
        <f>CUW!D95</f>
        <v>Punkt Przedszkolny "Smyki" w Komorowie - dotacja</v>
      </c>
      <c r="C53" s="20">
        <v>0</v>
      </c>
      <c r="D53" s="108">
        <f>D52</f>
        <v>1338</v>
      </c>
      <c r="E53" s="82">
        <f t="shared" ref="E53:E60" si="6">SUM(C53*D53)</f>
        <v>0</v>
      </c>
      <c r="F53" s="167"/>
      <c r="G53" s="98"/>
      <c r="H53" s="168"/>
    </row>
    <row r="54" spans="1:8" ht="13.5" hidden="1" customHeight="1">
      <c r="A54" s="20"/>
      <c r="B54" s="27" t="str">
        <f>CUW!D96</f>
        <v>Punk Przedszkolny "Misie Patysie" w Nowej Wsi - dotacja</v>
      </c>
      <c r="C54" s="20">
        <v>0</v>
      </c>
      <c r="D54" s="108">
        <f t="shared" ref="D54:D60" si="7">D53</f>
        <v>1338</v>
      </c>
      <c r="E54" s="82">
        <f t="shared" si="6"/>
        <v>0</v>
      </c>
      <c r="F54" s="167"/>
      <c r="G54" s="98"/>
      <c r="H54" s="168"/>
    </row>
    <row r="55" spans="1:8" ht="13.5" hidden="1" customHeight="1">
      <c r="A55" s="20"/>
      <c r="B55" s="27" t="str">
        <f>CUW!D97</f>
        <v>Punk Przedszkolny Integracyjny "Słoneczna Kraina" w Nowej Wsi - dotacja</v>
      </c>
      <c r="C55" s="20">
        <v>0</v>
      </c>
      <c r="D55" s="108">
        <f t="shared" si="7"/>
        <v>1338</v>
      </c>
      <c r="E55" s="82">
        <f t="shared" si="6"/>
        <v>0</v>
      </c>
      <c r="F55" s="167"/>
      <c r="G55" s="98"/>
      <c r="H55" s="168"/>
    </row>
    <row r="56" spans="1:8" ht="13.5" hidden="1" customHeight="1">
      <c r="A56" s="20"/>
      <c r="B56" s="27" t="str">
        <f>CUW!D98</f>
        <v>Punk Przedszkolny "Słoneczna Kraina" w Komorowie - dotacja</v>
      </c>
      <c r="C56" s="20">
        <v>0</v>
      </c>
      <c r="D56" s="108">
        <f t="shared" si="7"/>
        <v>1338</v>
      </c>
      <c r="E56" s="82">
        <f t="shared" si="6"/>
        <v>0</v>
      </c>
      <c r="F56" s="167"/>
      <c r="G56" s="98"/>
      <c r="H56" s="168"/>
    </row>
    <row r="57" spans="1:8" ht="13.5" hidden="1" customHeight="1">
      <c r="A57" s="20"/>
      <c r="B57" s="27" t="str">
        <f>CUW!D99</f>
        <v>Punk Przedszkolny "Sasanka" w Nowej Wsi - dotacja</v>
      </c>
      <c r="C57" s="20">
        <v>0</v>
      </c>
      <c r="D57" s="108">
        <f t="shared" si="7"/>
        <v>1338</v>
      </c>
      <c r="E57" s="82">
        <f t="shared" si="6"/>
        <v>0</v>
      </c>
      <c r="F57" s="167"/>
      <c r="G57" s="98"/>
      <c r="H57" s="168"/>
    </row>
    <row r="58" spans="1:8" ht="13.5" hidden="1" customHeight="1">
      <c r="A58" s="20"/>
      <c r="B58" s="27" t="str">
        <f>CUW!D100</f>
        <v>Punk Przedszkolny "Adaś" w Michałowicach - dotacja</v>
      </c>
      <c r="C58" s="20">
        <v>0</v>
      </c>
      <c r="D58" s="108">
        <f t="shared" si="7"/>
        <v>1338</v>
      </c>
      <c r="E58" s="82">
        <f t="shared" si="6"/>
        <v>0</v>
      </c>
      <c r="F58" s="167"/>
      <c r="G58" s="98"/>
      <c r="H58" s="168"/>
    </row>
    <row r="59" spans="1:8" ht="13.5" hidden="1" customHeight="1">
      <c r="A59" s="20"/>
      <c r="B59" s="27" t="str">
        <f>CUW!D101</f>
        <v xml:space="preserve">Punkt Przedszkolny inspirowany pedagogiką Waldorfską w Komorowie- dotacje </v>
      </c>
      <c r="C59" s="20">
        <v>0</v>
      </c>
      <c r="D59" s="108">
        <f t="shared" si="7"/>
        <v>1338</v>
      </c>
      <c r="E59" s="82">
        <f t="shared" si="6"/>
        <v>0</v>
      </c>
      <c r="F59" s="167"/>
      <c r="G59" s="98"/>
      <c r="H59" s="168"/>
    </row>
    <row r="60" spans="1:8" ht="13.5" hidden="1" customHeight="1">
      <c r="A60" s="20"/>
      <c r="B60" s="27" t="str">
        <f>CUW!D102</f>
        <v xml:space="preserve">Punk przedszkolny terapeutyczny "Pierwsze kroki" w Regułach - dotacje </v>
      </c>
      <c r="C60" s="20"/>
      <c r="D60" s="108">
        <f t="shared" si="7"/>
        <v>1338</v>
      </c>
      <c r="E60" s="82">
        <f t="shared" si="6"/>
        <v>0</v>
      </c>
      <c r="F60" s="167"/>
      <c r="G60" s="98"/>
      <c r="H60" s="168"/>
    </row>
    <row r="61" spans="1:8" ht="13.5" customHeight="1">
      <c r="A61" s="20"/>
      <c r="B61" s="65" t="s">
        <v>106</v>
      </c>
      <c r="C61" s="32">
        <f>SUM(C45:C60)</f>
        <v>85</v>
      </c>
      <c r="D61" s="110"/>
      <c r="E61" s="84">
        <f>SUM(E45:E60)</f>
        <v>453792.03622117138</v>
      </c>
      <c r="F61" s="167"/>
      <c r="G61" s="98"/>
      <c r="H61" s="168"/>
    </row>
    <row r="62" spans="1:8" ht="13.5" customHeight="1">
      <c r="A62" s="20"/>
      <c r="B62" s="65"/>
      <c r="C62" s="32"/>
      <c r="D62" s="110"/>
      <c r="E62" s="84"/>
      <c r="F62" s="167"/>
      <c r="G62" s="98"/>
      <c r="H62" s="168"/>
    </row>
    <row r="63" spans="1:8" ht="13.5" customHeight="1">
      <c r="A63" s="20"/>
      <c r="B63" s="27"/>
      <c r="C63" s="20"/>
      <c r="D63" s="108"/>
      <c r="E63" s="82"/>
      <c r="F63" s="167"/>
      <c r="G63" s="98"/>
      <c r="H63" s="168"/>
    </row>
    <row r="64" spans="1:8" ht="13.5" customHeight="1">
      <c r="A64" s="20">
        <v>1</v>
      </c>
      <c r="B64" s="463" t="s">
        <v>416</v>
      </c>
      <c r="C64" s="17"/>
      <c r="D64" s="175"/>
      <c r="E64" s="84">
        <f>SUM(E65:E66)</f>
        <v>19920</v>
      </c>
      <c r="F64" s="167"/>
      <c r="G64" s="98"/>
      <c r="H64" s="168"/>
    </row>
    <row r="65" spans="1:8" ht="13.5" customHeight="1">
      <c r="A65" s="20"/>
      <c r="B65" s="21" t="s">
        <v>567</v>
      </c>
      <c r="C65" s="20">
        <v>1</v>
      </c>
      <c r="D65" s="108">
        <f>'Wylicz dotacji przedszk'!C20</f>
        <v>1660</v>
      </c>
      <c r="E65" s="82">
        <f>C65*D65*12</f>
        <v>19920</v>
      </c>
      <c r="F65" s="167"/>
      <c r="G65" s="98"/>
      <c r="H65" s="168"/>
    </row>
    <row r="66" spans="1:8" ht="13.5" customHeight="1">
      <c r="A66" s="20"/>
      <c r="B66" s="21" t="s">
        <v>568</v>
      </c>
      <c r="C66" s="20"/>
      <c r="D66" s="108">
        <f>'Wylicz dotacji przedszk'!G17</f>
        <v>0</v>
      </c>
      <c r="E66" s="82">
        <f>C66*D66*12</f>
        <v>0</v>
      </c>
      <c r="F66" s="167"/>
      <c r="G66" s="98"/>
      <c r="H66" s="168"/>
    </row>
    <row r="67" spans="1:8" ht="13.5" customHeight="1">
      <c r="A67" s="20"/>
      <c r="B67" s="21"/>
      <c r="C67" s="20"/>
      <c r="D67" s="108"/>
      <c r="E67" s="82"/>
      <c r="F67" s="167"/>
      <c r="G67" s="98"/>
      <c r="H67" s="168"/>
    </row>
    <row r="68" spans="1:8" ht="13.5" customHeight="1">
      <c r="A68" s="20">
        <v>2</v>
      </c>
      <c r="B68" s="463" t="s">
        <v>741</v>
      </c>
      <c r="C68" s="20"/>
      <c r="D68" s="108"/>
      <c r="E68" s="84">
        <f>SUM(E69:E71)</f>
        <v>0</v>
      </c>
      <c r="F68" s="167"/>
      <c r="G68" s="98"/>
      <c r="H68" s="168"/>
    </row>
    <row r="69" spans="1:8" ht="13.5" customHeight="1">
      <c r="A69" s="20"/>
      <c r="B69" s="21" t="s">
        <v>567</v>
      </c>
      <c r="C69" s="20">
        <v>0</v>
      </c>
      <c r="D69" s="108">
        <f>D65</f>
        <v>1660</v>
      </c>
      <c r="E69" s="82">
        <f>C69*D69*12</f>
        <v>0</v>
      </c>
      <c r="F69" s="167"/>
      <c r="G69" s="98"/>
      <c r="H69" s="168"/>
    </row>
    <row r="70" spans="1:8" ht="13.5" customHeight="1">
      <c r="A70" s="20"/>
      <c r="B70" s="21" t="s">
        <v>568</v>
      </c>
      <c r="C70" s="20">
        <v>0</v>
      </c>
      <c r="D70" s="108">
        <f>'Wylicz dotacji przedszk'!C19</f>
        <v>4350</v>
      </c>
      <c r="E70" s="82">
        <f>C70*D70*12</f>
        <v>0</v>
      </c>
      <c r="F70" s="167"/>
      <c r="G70" s="98"/>
      <c r="H70" s="168"/>
    </row>
    <row r="71" spans="1:8" ht="13.5" customHeight="1">
      <c r="A71" s="20"/>
      <c r="B71" s="21" t="s">
        <v>740</v>
      </c>
      <c r="C71" s="20">
        <v>0</v>
      </c>
      <c r="D71" s="108">
        <f>'Wylicz dotacji przedszk'!C23</f>
        <v>420</v>
      </c>
      <c r="E71" s="82">
        <f>C71*D71*12</f>
        <v>0</v>
      </c>
      <c r="F71" s="167"/>
      <c r="G71" s="98"/>
      <c r="H71" s="168"/>
    </row>
    <row r="72" spans="1:8" ht="13.5" customHeight="1">
      <c r="A72" s="20"/>
      <c r="B72" s="21"/>
      <c r="C72" s="20"/>
      <c r="D72" s="108"/>
      <c r="E72" s="82"/>
      <c r="F72" s="167"/>
      <c r="G72" s="98"/>
      <c r="H72" s="168"/>
    </row>
    <row r="73" spans="1:8" ht="13.5" customHeight="1">
      <c r="A73" s="20">
        <v>3</v>
      </c>
      <c r="B73" s="464" t="s">
        <v>91</v>
      </c>
      <c r="C73" s="20"/>
      <c r="D73" s="108"/>
      <c r="E73" s="84">
        <f>SUM(E74:E75)</f>
        <v>208800</v>
      </c>
      <c r="F73" s="167"/>
      <c r="G73" s="98"/>
      <c r="H73" s="168"/>
    </row>
    <row r="74" spans="1:8" ht="13.5" customHeight="1">
      <c r="A74" s="20"/>
      <c r="B74" s="21" t="s">
        <v>567</v>
      </c>
      <c r="C74" s="20">
        <v>0</v>
      </c>
      <c r="D74" s="108">
        <f>D69</f>
        <v>1660</v>
      </c>
      <c r="E74" s="82">
        <f>C74*D74*12</f>
        <v>0</v>
      </c>
      <c r="F74" s="167"/>
      <c r="G74" s="98"/>
      <c r="H74" s="168"/>
    </row>
    <row r="75" spans="1:8" ht="13.5" customHeight="1">
      <c r="A75" s="20"/>
      <c r="B75" s="21" t="s">
        <v>568</v>
      </c>
      <c r="C75" s="20">
        <v>4</v>
      </c>
      <c r="D75" s="108">
        <f>'Wylicz dotacji przedszk'!C19</f>
        <v>4350</v>
      </c>
      <c r="E75" s="82">
        <f>C75*D75*12</f>
        <v>208800</v>
      </c>
      <c r="F75" s="167"/>
      <c r="G75" s="98"/>
      <c r="H75" s="168"/>
    </row>
    <row r="76" spans="1:8" ht="13.5" customHeight="1">
      <c r="A76" s="20"/>
      <c r="B76" s="21" t="s">
        <v>740</v>
      </c>
      <c r="C76" s="20"/>
      <c r="D76" s="108"/>
      <c r="E76" s="82"/>
      <c r="F76" s="167"/>
      <c r="G76" s="98"/>
      <c r="H76" s="168"/>
    </row>
    <row r="77" spans="1:8" ht="13.5" customHeight="1">
      <c r="A77" s="20"/>
      <c r="B77" s="21"/>
      <c r="C77" s="20"/>
      <c r="D77" s="108"/>
      <c r="E77" s="82"/>
      <c r="F77" s="167"/>
      <c r="G77" s="98"/>
      <c r="H77" s="168"/>
    </row>
    <row r="78" spans="1:8" ht="13.5" customHeight="1">
      <c r="A78" s="20">
        <v>4</v>
      </c>
      <c r="B78" s="65" t="s">
        <v>314</v>
      </c>
      <c r="C78" s="20"/>
      <c r="D78" s="108"/>
      <c r="E78" s="84">
        <f>SUM(E79:E81)</f>
        <v>383640</v>
      </c>
      <c r="F78" s="167"/>
      <c r="G78" s="98"/>
      <c r="H78" s="168"/>
    </row>
    <row r="79" spans="1:8" ht="13.5" customHeight="1">
      <c r="A79" s="20"/>
      <c r="B79" s="21" t="s">
        <v>567</v>
      </c>
      <c r="C79" s="20">
        <v>0</v>
      </c>
      <c r="D79" s="108">
        <f>D74</f>
        <v>1660</v>
      </c>
      <c r="E79" s="82">
        <f>C79*D79*12</f>
        <v>0</v>
      </c>
      <c r="F79" s="167"/>
      <c r="G79" s="98"/>
      <c r="H79" s="168"/>
    </row>
    <row r="80" spans="1:8" ht="13.5" customHeight="1">
      <c r="A80" s="20"/>
      <c r="B80" s="21" t="s">
        <v>568</v>
      </c>
      <c r="C80" s="20">
        <v>7</v>
      </c>
      <c r="D80" s="108">
        <f>D75</f>
        <v>4350</v>
      </c>
      <c r="E80" s="82">
        <f>C80*D80*12</f>
        <v>365400</v>
      </c>
      <c r="F80" s="167"/>
      <c r="G80" s="98"/>
      <c r="H80" s="168"/>
    </row>
    <row r="81" spans="1:8" ht="13.5" customHeight="1">
      <c r="A81" s="20"/>
      <c r="B81" s="21" t="s">
        <v>740</v>
      </c>
      <c r="C81" s="20">
        <v>4</v>
      </c>
      <c r="D81" s="108">
        <f>'Wylicz dotacji przedszk'!C24</f>
        <v>380</v>
      </c>
      <c r="E81" s="82">
        <f>C81*D81*12</f>
        <v>18240</v>
      </c>
      <c r="F81" s="167"/>
      <c r="G81" s="98"/>
      <c r="H81" s="168"/>
    </row>
    <row r="82" spans="1:8" ht="13.5" customHeight="1">
      <c r="A82" s="20"/>
      <c r="B82" s="21"/>
      <c r="C82" s="20"/>
      <c r="D82" s="108"/>
      <c r="E82" s="82"/>
      <c r="F82" s="167"/>
      <c r="G82" s="98"/>
      <c r="H82" s="168"/>
    </row>
    <row r="83" spans="1:8" ht="13.5" customHeight="1">
      <c r="A83" s="20">
        <v>5</v>
      </c>
      <c r="B83" s="65" t="s">
        <v>81</v>
      </c>
      <c r="C83" s="20"/>
      <c r="D83" s="108"/>
      <c r="E83" s="84">
        <f>SUM(E84:E86)</f>
        <v>388200</v>
      </c>
      <c r="F83" s="167"/>
      <c r="G83" s="98"/>
      <c r="H83" s="168"/>
    </row>
    <row r="84" spans="1:8" ht="13.5" customHeight="1">
      <c r="A84" s="20"/>
      <c r="B84" s="21" t="s">
        <v>567</v>
      </c>
      <c r="C84" s="20">
        <v>0</v>
      </c>
      <c r="D84" s="108">
        <f>D79</f>
        <v>1660</v>
      </c>
      <c r="E84" s="82">
        <f>C84*D84*12</f>
        <v>0</v>
      </c>
      <c r="F84" s="167"/>
      <c r="G84" s="98"/>
      <c r="H84" s="168"/>
    </row>
    <row r="85" spans="1:8" ht="13.5" customHeight="1">
      <c r="A85" s="20"/>
      <c r="B85" s="21" t="s">
        <v>568</v>
      </c>
      <c r="C85" s="20">
        <v>7</v>
      </c>
      <c r="D85" s="108">
        <f>D80</f>
        <v>4350</v>
      </c>
      <c r="E85" s="82">
        <f>C85*D85*12</f>
        <v>365400</v>
      </c>
      <c r="F85" s="167"/>
      <c r="G85" s="98"/>
      <c r="H85" s="168"/>
    </row>
    <row r="86" spans="1:8" ht="13.5" customHeight="1">
      <c r="A86" s="20"/>
      <c r="B86" s="21" t="s">
        <v>740</v>
      </c>
      <c r="C86" s="20">
        <v>5</v>
      </c>
      <c r="D86" s="108">
        <f>'Wylicz dotacji przedszk'!C24</f>
        <v>380</v>
      </c>
      <c r="E86" s="82">
        <f>C86*D86*12</f>
        <v>22800</v>
      </c>
      <c r="F86" s="167"/>
      <c r="G86" s="98"/>
      <c r="H86" s="168"/>
    </row>
    <row r="87" spans="1:8" ht="13.5" customHeight="1">
      <c r="A87" s="20"/>
      <c r="B87" s="21"/>
      <c r="C87" s="20"/>
      <c r="D87" s="108"/>
      <c r="E87" s="82"/>
      <c r="F87" s="167"/>
      <c r="G87" s="98"/>
      <c r="H87" s="168"/>
    </row>
    <row r="88" spans="1:8" ht="13.5" customHeight="1">
      <c r="A88" s="20">
        <v>6</v>
      </c>
      <c r="B88" s="464" t="s">
        <v>82</v>
      </c>
      <c r="C88" s="20"/>
      <c r="D88" s="108"/>
      <c r="E88" s="84">
        <f>SUM(E89:E91)</f>
        <v>299160</v>
      </c>
      <c r="F88" s="167"/>
      <c r="G88" s="98"/>
      <c r="H88" s="168"/>
    </row>
    <row r="89" spans="1:8" ht="13.5" customHeight="1">
      <c r="A89" s="20"/>
      <c r="B89" s="21" t="s">
        <v>567</v>
      </c>
      <c r="C89" s="20">
        <v>1</v>
      </c>
      <c r="D89" s="108">
        <f>D84</f>
        <v>1660</v>
      </c>
      <c r="E89" s="82">
        <f>C89*D89*12</f>
        <v>19920</v>
      </c>
      <c r="F89" s="167"/>
      <c r="G89" s="98"/>
      <c r="H89" s="168"/>
    </row>
    <row r="90" spans="1:8" ht="13.5" customHeight="1">
      <c r="A90" s="20"/>
      <c r="B90" s="21" t="s">
        <v>568</v>
      </c>
      <c r="C90" s="20">
        <v>5</v>
      </c>
      <c r="D90" s="108">
        <f>D85</f>
        <v>4350</v>
      </c>
      <c r="E90" s="82">
        <f>C90*D90*12</f>
        <v>261000</v>
      </c>
      <c r="F90" s="167"/>
      <c r="G90" s="98"/>
      <c r="H90" s="168"/>
    </row>
    <row r="91" spans="1:8" ht="13.5" customHeight="1">
      <c r="A91" s="20"/>
      <c r="B91" s="21" t="s">
        <v>740</v>
      </c>
      <c r="C91" s="20">
        <v>4</v>
      </c>
      <c r="D91" s="108">
        <f>'Wylicz dotacji przedszk'!C24</f>
        <v>380</v>
      </c>
      <c r="E91" s="82">
        <f>C91*D91*12</f>
        <v>18240</v>
      </c>
      <c r="F91" s="167"/>
      <c r="G91" s="98"/>
      <c r="H91" s="168"/>
    </row>
    <row r="92" spans="1:8" ht="13.5" customHeight="1">
      <c r="A92" s="20"/>
      <c r="B92" s="21"/>
      <c r="C92" s="20"/>
      <c r="D92" s="108"/>
      <c r="E92" s="82"/>
      <c r="F92" s="167"/>
      <c r="G92" s="98"/>
      <c r="H92" s="168"/>
    </row>
    <row r="93" spans="1:8" ht="13.5" customHeight="1">
      <c r="A93" s="20">
        <v>7</v>
      </c>
      <c r="B93" s="464" t="s">
        <v>561</v>
      </c>
      <c r="C93" s="20"/>
      <c r="D93" s="108"/>
      <c r="E93" s="84">
        <f>E94+E95</f>
        <v>0</v>
      </c>
      <c r="F93" s="167"/>
      <c r="G93" s="98"/>
      <c r="H93" s="168"/>
    </row>
    <row r="94" spans="1:8" ht="13.5" customHeight="1">
      <c r="A94" s="20"/>
      <c r="B94" s="21" t="s">
        <v>567</v>
      </c>
      <c r="C94" s="20">
        <v>0</v>
      </c>
      <c r="D94" s="108">
        <f>D89</f>
        <v>1660</v>
      </c>
      <c r="E94" s="82">
        <f>C94*D94*12</f>
        <v>0</v>
      </c>
      <c r="F94" s="167"/>
      <c r="G94" s="98"/>
      <c r="H94" s="168"/>
    </row>
    <row r="95" spans="1:8" ht="13.5" customHeight="1">
      <c r="A95" s="20"/>
      <c r="B95" s="21" t="s">
        <v>568</v>
      </c>
      <c r="C95" s="20">
        <v>0</v>
      </c>
      <c r="D95" s="108">
        <f>D90</f>
        <v>4350</v>
      </c>
      <c r="E95" s="82">
        <f>C95*D95*12</f>
        <v>0</v>
      </c>
      <c r="F95" s="167"/>
      <c r="G95" s="98"/>
      <c r="H95" s="168"/>
    </row>
    <row r="96" spans="1:8" ht="13.5" customHeight="1">
      <c r="A96" s="20"/>
      <c r="B96" s="21"/>
      <c r="C96" s="20"/>
      <c r="D96" s="108"/>
      <c r="E96" s="82"/>
      <c r="F96" s="167"/>
      <c r="G96" s="98"/>
      <c r="H96" s="168"/>
    </row>
    <row r="97" spans="1:8" ht="13.5" customHeight="1">
      <c r="A97" s="20">
        <v>8</v>
      </c>
      <c r="B97" s="464" t="s">
        <v>562</v>
      </c>
      <c r="C97" s="20"/>
      <c r="D97" s="108"/>
      <c r="E97" s="84">
        <f>SUM(E98:E100)</f>
        <v>649200</v>
      </c>
      <c r="F97" s="167"/>
      <c r="G97" s="98"/>
      <c r="H97" s="168"/>
    </row>
    <row r="98" spans="1:8" ht="13.5" customHeight="1">
      <c r="A98" s="20"/>
      <c r="B98" s="21" t="s">
        <v>567</v>
      </c>
      <c r="C98" s="20">
        <v>0</v>
      </c>
      <c r="D98" s="108">
        <f>D94</f>
        <v>1660</v>
      </c>
      <c r="E98" s="82">
        <f>C98*D98*12</f>
        <v>0</v>
      </c>
      <c r="F98" s="167"/>
      <c r="G98" s="98"/>
      <c r="H98" s="168"/>
    </row>
    <row r="99" spans="1:8" ht="13.5" customHeight="1">
      <c r="A99" s="20"/>
      <c r="B99" s="21" t="s">
        <v>568</v>
      </c>
      <c r="C99" s="20">
        <v>12</v>
      </c>
      <c r="D99" s="108">
        <f>D95</f>
        <v>4350</v>
      </c>
      <c r="E99" s="82">
        <f>C99*D99*12</f>
        <v>626400</v>
      </c>
      <c r="F99" s="167"/>
      <c r="G99" s="98"/>
      <c r="H99" s="168"/>
    </row>
    <row r="100" spans="1:8" ht="13.5" customHeight="1">
      <c r="A100" s="20"/>
      <c r="B100" s="21" t="s">
        <v>740</v>
      </c>
      <c r="C100" s="20">
        <v>5</v>
      </c>
      <c r="D100" s="108">
        <f>'Wylicz dotacji przedszk'!C24</f>
        <v>380</v>
      </c>
      <c r="E100" s="82">
        <f>C100*D100*12</f>
        <v>22800</v>
      </c>
      <c r="F100" s="167"/>
      <c r="G100" s="98"/>
      <c r="H100" s="168"/>
    </row>
    <row r="101" spans="1:8" ht="13.5" customHeight="1">
      <c r="A101" s="20"/>
      <c r="B101" s="21"/>
      <c r="C101" s="20"/>
      <c r="D101" s="108"/>
      <c r="E101" s="82"/>
      <c r="F101" s="167"/>
      <c r="G101" s="98"/>
      <c r="H101" s="168"/>
    </row>
    <row r="102" spans="1:8" ht="13.5" customHeight="1">
      <c r="A102" s="20">
        <v>9</v>
      </c>
      <c r="B102" s="463" t="s">
        <v>745</v>
      </c>
      <c r="C102" s="20"/>
      <c r="D102" s="108"/>
      <c r="E102" s="84">
        <f>SUM(E103:E104)</f>
        <v>57240</v>
      </c>
      <c r="F102" s="167"/>
      <c r="G102" s="98"/>
      <c r="H102" s="168"/>
    </row>
    <row r="103" spans="1:8" ht="13.5" customHeight="1">
      <c r="A103" s="20"/>
      <c r="B103" s="21" t="s">
        <v>568</v>
      </c>
      <c r="C103" s="20">
        <v>1</v>
      </c>
      <c r="D103" s="108">
        <f>C103*'Wylicz dotacji przedszk'!C19</f>
        <v>4350</v>
      </c>
      <c r="E103" s="82">
        <f>C103*D103*12</f>
        <v>52200</v>
      </c>
      <c r="F103" s="167"/>
      <c r="G103" s="98"/>
      <c r="H103" s="168"/>
    </row>
    <row r="104" spans="1:8" ht="13.5" customHeight="1">
      <c r="A104" s="20"/>
      <c r="B104" s="21" t="s">
        <v>740</v>
      </c>
      <c r="C104" s="20">
        <v>1</v>
      </c>
      <c r="D104" s="108">
        <f>'Wylicz dotacji przedszk'!C23</f>
        <v>420</v>
      </c>
      <c r="E104" s="82">
        <f>C104*D104*12</f>
        <v>5040</v>
      </c>
      <c r="F104" s="167"/>
      <c r="G104" s="98"/>
      <c r="H104" s="168"/>
    </row>
    <row r="105" spans="1:8" ht="13.5" customHeight="1">
      <c r="A105" s="20"/>
      <c r="B105" s="21"/>
      <c r="C105" s="20"/>
      <c r="D105" s="108"/>
      <c r="E105" s="82"/>
      <c r="F105" s="167"/>
      <c r="G105" s="98"/>
      <c r="H105" s="168"/>
    </row>
    <row r="106" spans="1:8" ht="13.5" customHeight="1">
      <c r="A106" s="20">
        <v>10</v>
      </c>
      <c r="B106" s="463" t="s">
        <v>744</v>
      </c>
      <c r="C106" s="20"/>
      <c r="D106" s="108"/>
      <c r="E106" s="84">
        <f>SUM(E107:E109)</f>
        <v>57240</v>
      </c>
      <c r="F106" s="167"/>
      <c r="G106" s="98"/>
      <c r="H106" s="168"/>
    </row>
    <row r="107" spans="1:8" ht="13.5" customHeight="1">
      <c r="A107" s="20"/>
      <c r="B107" s="21" t="s">
        <v>567</v>
      </c>
      <c r="C107" s="20">
        <v>0</v>
      </c>
      <c r="D107" s="108">
        <f>C107*'Wylicz dotacji przedszk'!C20</f>
        <v>0</v>
      </c>
      <c r="E107" s="82">
        <f>C107*D107*12</f>
        <v>0</v>
      </c>
      <c r="F107" s="167"/>
      <c r="G107" s="98"/>
      <c r="H107" s="168"/>
    </row>
    <row r="108" spans="1:8" ht="13.5" customHeight="1">
      <c r="A108" s="20"/>
      <c r="B108" s="21" t="s">
        <v>568</v>
      </c>
      <c r="C108" s="20">
        <v>1</v>
      </c>
      <c r="D108" s="108">
        <f>C108*'Wylicz dotacji przedszk'!C19</f>
        <v>4350</v>
      </c>
      <c r="E108" s="82">
        <f>C108*D108*12</f>
        <v>52200</v>
      </c>
      <c r="F108" s="167"/>
      <c r="G108" s="98"/>
      <c r="H108" s="168"/>
    </row>
    <row r="109" spans="1:8" ht="13.5" customHeight="1">
      <c r="A109" s="20"/>
      <c r="B109" s="21" t="s">
        <v>740</v>
      </c>
      <c r="C109" s="20">
        <v>1</v>
      </c>
      <c r="D109" s="108">
        <f>C109*'Wylicz dotacji przedszk'!C23</f>
        <v>420</v>
      </c>
      <c r="E109" s="82">
        <f>C109*D109*12</f>
        <v>5040</v>
      </c>
      <c r="F109" s="167"/>
      <c r="G109" s="98"/>
      <c r="H109" s="168"/>
    </row>
    <row r="110" spans="1:8" ht="13.5" customHeight="1">
      <c r="A110" s="20"/>
      <c r="B110" s="21"/>
      <c r="C110" s="20"/>
      <c r="D110" s="108"/>
      <c r="E110" s="82"/>
      <c r="F110" s="167"/>
      <c r="G110" s="98"/>
      <c r="H110" s="168"/>
    </row>
    <row r="111" spans="1:8" ht="13.5" customHeight="1">
      <c r="A111" s="20">
        <v>11</v>
      </c>
      <c r="B111" s="463" t="s">
        <v>742</v>
      </c>
      <c r="C111" s="20"/>
      <c r="D111" s="108"/>
      <c r="E111" s="84">
        <f>E112</f>
        <v>0</v>
      </c>
      <c r="F111" s="167"/>
      <c r="G111" s="98"/>
      <c r="H111" s="168"/>
    </row>
    <row r="112" spans="1:8" ht="13.5" customHeight="1">
      <c r="A112" s="20"/>
      <c r="B112" s="21"/>
      <c r="C112" s="20">
        <v>0</v>
      </c>
      <c r="D112" s="108">
        <v>4264.38</v>
      </c>
      <c r="E112" s="82">
        <f>C112*D112*12</f>
        <v>0</v>
      </c>
      <c r="F112" s="167"/>
      <c r="G112" s="98"/>
      <c r="H112" s="168"/>
    </row>
    <row r="113" spans="1:8" ht="13.5" customHeight="1">
      <c r="A113" s="20"/>
      <c r="B113" s="21"/>
      <c r="C113" s="20"/>
      <c r="D113" s="108"/>
      <c r="E113" s="82"/>
      <c r="F113" s="167"/>
      <c r="G113" s="98"/>
      <c r="H113" s="168"/>
    </row>
    <row r="114" spans="1:8" ht="22.5" customHeight="1">
      <c r="A114" s="20"/>
      <c r="B114" s="65" t="s">
        <v>566</v>
      </c>
      <c r="C114" s="32">
        <f>SUM(C65+C70+C75+C80+C69+C74+C79+C84+C85+C89+C90+C94+C95+C98+C99+C103+C104+C112)</f>
        <v>39</v>
      </c>
      <c r="D114" s="32"/>
      <c r="E114" s="84">
        <f>E64+E68+E73+E78+E83+E88+E93+E97+E102+E106+E111</f>
        <v>2063400</v>
      </c>
      <c r="F114" s="171"/>
      <c r="G114" s="98"/>
      <c r="H114" s="37"/>
    </row>
    <row r="115" spans="1:8">
      <c r="A115" s="20"/>
      <c r="B115" s="32" t="s">
        <v>39</v>
      </c>
      <c r="C115" s="32">
        <f>SUM(C4+C27+C38+C44+C61+C114)</f>
        <v>969</v>
      </c>
      <c r="D115" s="32"/>
      <c r="E115" s="84">
        <f>SUM(E4+E27+E38+E44+E61+E114)</f>
        <v>7793681.3097801553</v>
      </c>
      <c r="F115" s="171"/>
      <c r="G115" s="98"/>
      <c r="H115" s="37"/>
    </row>
    <row r="116" spans="1:8">
      <c r="B116" s="176"/>
      <c r="C116" s="176"/>
      <c r="D116" s="37"/>
      <c r="E116" s="37"/>
      <c r="F116" s="177"/>
      <c r="G116" s="98"/>
      <c r="H116" s="37"/>
    </row>
    <row r="117" spans="1:8">
      <c r="B117" s="176"/>
      <c r="C117" s="176"/>
      <c r="D117" s="37"/>
      <c r="E117" s="37"/>
      <c r="F117" s="37"/>
      <c r="G117" s="98"/>
      <c r="H117" s="37"/>
    </row>
    <row r="118" spans="1:8">
      <c r="B118" s="176"/>
      <c r="C118" s="176"/>
      <c r="D118" s="37"/>
      <c r="E118" s="37"/>
      <c r="F118" s="177"/>
      <c r="G118" s="98"/>
      <c r="H118" s="37"/>
    </row>
    <row r="119" spans="1:8">
      <c r="A119" s="20"/>
      <c r="B119" s="155" t="s">
        <v>51</v>
      </c>
      <c r="C119" s="34" t="s">
        <v>52</v>
      </c>
      <c r="D119" s="34" t="s">
        <v>53</v>
      </c>
      <c r="E119" s="34" t="s">
        <v>54</v>
      </c>
      <c r="G119" s="98"/>
    </row>
    <row r="120" spans="1:8">
      <c r="A120" s="20">
        <v>1</v>
      </c>
      <c r="B120" s="20" t="str">
        <f>CUW!D169</f>
        <v>niepubliczny żłobek "Mały Antoś" w Michałowicach</v>
      </c>
      <c r="C120" s="20">
        <v>0</v>
      </c>
      <c r="D120" s="82">
        <v>700</v>
      </c>
      <c r="E120" s="82">
        <f t="shared" ref="E120:E127" si="8">C120*D120*12</f>
        <v>0</v>
      </c>
      <c r="G120" s="98"/>
      <c r="H120" s="152"/>
    </row>
    <row r="121" spans="1:8">
      <c r="A121" s="20">
        <v>2</v>
      </c>
      <c r="B121" s="20" t="str">
        <f>CUW!D170</f>
        <v>niepubliczny żłobek "Misie Patysie" w Nowej Wsi</v>
      </c>
      <c r="C121" s="20">
        <v>13</v>
      </c>
      <c r="D121" s="82">
        <f>$D$120</f>
        <v>700</v>
      </c>
      <c r="E121" s="82">
        <f t="shared" si="8"/>
        <v>109200</v>
      </c>
      <c r="G121" s="98"/>
    </row>
    <row r="122" spans="1:8">
      <c r="A122" s="20">
        <v>3</v>
      </c>
      <c r="B122" s="20" t="str">
        <f>CUW!D171</f>
        <v>niepubliczny żłobek w Komorowie przy Turkusowej</v>
      </c>
      <c r="C122" s="20">
        <v>25</v>
      </c>
      <c r="D122" s="82">
        <f>$D$120</f>
        <v>700</v>
      </c>
      <c r="E122" s="82">
        <f t="shared" si="8"/>
        <v>210000</v>
      </c>
      <c r="G122" s="98"/>
    </row>
    <row r="123" spans="1:8">
      <c r="A123" s="20">
        <v>4</v>
      </c>
      <c r="B123" s="20" t="str">
        <f>CUW!D172</f>
        <v>niepubliczny żłobek "Smykusie" w Komorowie</v>
      </c>
      <c r="C123" s="20">
        <v>0</v>
      </c>
      <c r="D123" s="82">
        <f>$D$120</f>
        <v>700</v>
      </c>
      <c r="E123" s="82">
        <f>C123*D123*12</f>
        <v>0</v>
      </c>
      <c r="G123" s="98"/>
    </row>
    <row r="124" spans="1:8" ht="15.75" customHeight="1">
      <c r="A124" s="20">
        <v>5</v>
      </c>
      <c r="B124" s="20" t="str">
        <f>CUW!D173</f>
        <v>niepubliczny żłobek "Krokodylek" w Regułach</v>
      </c>
      <c r="C124" s="20">
        <v>0</v>
      </c>
      <c r="D124" s="82">
        <f>$D$120</f>
        <v>700</v>
      </c>
      <c r="E124" s="82">
        <f t="shared" si="8"/>
        <v>0</v>
      </c>
      <c r="G124" s="98"/>
    </row>
    <row r="125" spans="1:8" ht="15.75" customHeight="1">
      <c r="A125" s="20">
        <v>6</v>
      </c>
      <c r="B125" s="20" t="str">
        <f>CUW!D174</f>
        <v>niepubliczny żłobek "Sasanka" w Nowej Wsi</v>
      </c>
      <c r="C125" s="20">
        <v>25</v>
      </c>
      <c r="D125" s="82">
        <v>400</v>
      </c>
      <c r="E125" s="82">
        <f t="shared" si="8"/>
        <v>120000</v>
      </c>
      <c r="G125" s="98"/>
    </row>
    <row r="126" spans="1:8" ht="15.75" customHeight="1">
      <c r="A126" s="20">
        <v>7</v>
      </c>
      <c r="B126" s="20" t="str">
        <f>CUW!D175</f>
        <v>niepubliczny żłobek "Radosny Brzdąc" w Komorowie</v>
      </c>
      <c r="C126" s="20">
        <v>10</v>
      </c>
      <c r="D126" s="82">
        <v>400</v>
      </c>
      <c r="E126" s="82">
        <f t="shared" si="8"/>
        <v>48000</v>
      </c>
      <c r="G126" s="98"/>
    </row>
    <row r="127" spans="1:8" ht="15.75" customHeight="1">
      <c r="A127" s="20">
        <v>8</v>
      </c>
      <c r="B127" s="20" t="str">
        <f>CUW!D176</f>
        <v>niepubliczny żłobek "Gumisiowy Raj" w Regułach</v>
      </c>
      <c r="C127" s="20">
        <v>10</v>
      </c>
      <c r="D127" s="82">
        <f>$D$120</f>
        <v>700</v>
      </c>
      <c r="E127" s="82">
        <f t="shared" si="8"/>
        <v>84000</v>
      </c>
      <c r="G127" s="98"/>
    </row>
    <row r="128" spans="1:8" ht="15.75" hidden="1" customHeight="1">
      <c r="A128" s="20">
        <v>7</v>
      </c>
      <c r="B128" s="20">
        <f>CUW!D177</f>
        <v>0</v>
      </c>
      <c r="C128" s="20">
        <v>0</v>
      </c>
      <c r="D128" s="82">
        <f>$D$120</f>
        <v>700</v>
      </c>
      <c r="E128" s="82">
        <f>C128*D128*12</f>
        <v>0</v>
      </c>
      <c r="G128" s="98" t="e">
        <f>SUM(E128/F128*100)</f>
        <v>#DIV/0!</v>
      </c>
    </row>
    <row r="129" spans="1:7">
      <c r="A129" s="20"/>
      <c r="B129" s="20"/>
      <c r="C129" s="32">
        <f>SUM(C120:C128)</f>
        <v>83</v>
      </c>
      <c r="D129" s="82"/>
      <c r="E129" s="25">
        <f>SUM(E120:E128)</f>
        <v>571200</v>
      </c>
      <c r="G129" s="98"/>
    </row>
    <row r="130" spans="1:7">
      <c r="A130" s="20"/>
      <c r="B130" s="155" t="s">
        <v>307</v>
      </c>
      <c r="C130" s="32"/>
      <c r="D130" s="82"/>
      <c r="E130" s="25"/>
      <c r="G130" s="98"/>
    </row>
    <row r="131" spans="1:7" ht="18" customHeight="1">
      <c r="A131" s="20">
        <v>1</v>
      </c>
      <c r="B131" s="27" t="str">
        <f>CUW!D179</f>
        <v>niepubliczny klub dziecięcy "Prestige for Kids" w Komorowie</v>
      </c>
      <c r="C131" s="20">
        <v>6</v>
      </c>
      <c r="D131" s="82">
        <v>700</v>
      </c>
      <c r="E131" s="22">
        <f>C131*D131*12</f>
        <v>50400</v>
      </c>
      <c r="G131" s="98"/>
    </row>
    <row r="132" spans="1:7">
      <c r="A132" s="20">
        <v>2</v>
      </c>
      <c r="B132" s="27" t="str">
        <f>CUW!D180</f>
        <v>niepubliczny klub katolicki "Baśniowa Kraina" w Opaczy</v>
      </c>
      <c r="C132" s="20">
        <v>0</v>
      </c>
      <c r="D132" s="82">
        <v>200</v>
      </c>
      <c r="E132" s="22">
        <f>C132*D132*12</f>
        <v>0</v>
      </c>
      <c r="G132" s="98"/>
    </row>
    <row r="133" spans="1:7">
      <c r="A133" s="20"/>
      <c r="B133" s="27"/>
      <c r="C133" s="32">
        <f>SUM(C131:C132)</f>
        <v>6</v>
      </c>
      <c r="D133" s="82"/>
      <c r="E133" s="25">
        <f>SUM(E131:E132)</f>
        <v>50400</v>
      </c>
      <c r="G133" s="98"/>
    </row>
    <row r="134" spans="1:7">
      <c r="A134" s="178"/>
      <c r="B134" s="164"/>
      <c r="C134" s="179"/>
      <c r="D134" s="168"/>
      <c r="E134" s="177"/>
      <c r="G134" s="98"/>
    </row>
    <row r="135" spans="1:7">
      <c r="A135" s="178"/>
      <c r="B135" s="52"/>
      <c r="C135" s="176"/>
      <c r="D135" s="168"/>
      <c r="E135" s="177"/>
      <c r="G135" s="98"/>
    </row>
    <row r="136" spans="1:7">
      <c r="A136" s="20">
        <v>1</v>
      </c>
      <c r="B136" s="161" t="s">
        <v>569</v>
      </c>
      <c r="C136" s="20">
        <v>10</v>
      </c>
      <c r="D136" s="82">
        <f>'Wylicz dotacji przedszk'!C22</f>
        <v>390</v>
      </c>
      <c r="E136" s="22">
        <f t="shared" ref="E136:E143" si="9">C136*D136*12</f>
        <v>46800</v>
      </c>
      <c r="G136" s="98"/>
    </row>
    <row r="137" spans="1:7">
      <c r="A137" s="20">
        <v>2</v>
      </c>
      <c r="B137" s="161" t="s">
        <v>532</v>
      </c>
      <c r="C137" s="20">
        <v>10</v>
      </c>
      <c r="D137" s="82">
        <f>D136</f>
        <v>390</v>
      </c>
      <c r="E137" s="22">
        <f t="shared" si="9"/>
        <v>46800</v>
      </c>
      <c r="G137" s="98"/>
    </row>
    <row r="138" spans="1:7">
      <c r="A138" s="20">
        <v>3</v>
      </c>
      <c r="B138" s="33" t="s">
        <v>91</v>
      </c>
      <c r="C138" s="20">
        <v>13</v>
      </c>
      <c r="D138" s="82">
        <f>D137</f>
        <v>390</v>
      </c>
      <c r="E138" s="22">
        <f t="shared" si="9"/>
        <v>60840</v>
      </c>
      <c r="G138" s="98"/>
    </row>
    <row r="139" spans="1:7">
      <c r="A139" s="20">
        <v>4</v>
      </c>
      <c r="B139" s="33" t="s">
        <v>82</v>
      </c>
      <c r="C139" s="20">
        <v>20</v>
      </c>
      <c r="D139" s="82">
        <f>D138</f>
        <v>390</v>
      </c>
      <c r="E139" s="22">
        <f t="shared" si="9"/>
        <v>93600</v>
      </c>
      <c r="G139" s="98"/>
    </row>
    <row r="140" spans="1:7">
      <c r="A140" s="20">
        <v>5</v>
      </c>
      <c r="B140" s="33" t="s">
        <v>607</v>
      </c>
      <c r="C140" s="20">
        <v>7</v>
      </c>
      <c r="D140" s="82">
        <f>D137</f>
        <v>390</v>
      </c>
      <c r="E140" s="22">
        <f t="shared" si="9"/>
        <v>32760</v>
      </c>
      <c r="G140" s="98"/>
    </row>
    <row r="141" spans="1:7">
      <c r="A141" s="20">
        <v>5</v>
      </c>
      <c r="B141" s="33" t="str">
        <f>B6</f>
        <v xml:space="preserve">Przedszkole Niepubliczne Sióstr Służebniczek NMP w Komorowie            </v>
      </c>
      <c r="C141" s="20">
        <v>0</v>
      </c>
      <c r="D141" s="82">
        <f>D138</f>
        <v>390</v>
      </c>
      <c r="E141" s="22">
        <f t="shared" si="9"/>
        <v>0</v>
      </c>
      <c r="G141" s="98"/>
    </row>
    <row r="142" spans="1:7">
      <c r="A142" s="466"/>
      <c r="B142" s="21" t="s">
        <v>746</v>
      </c>
      <c r="C142" s="20">
        <v>0</v>
      </c>
      <c r="D142" s="82">
        <f>D139</f>
        <v>390</v>
      </c>
      <c r="E142" s="22">
        <f t="shared" si="9"/>
        <v>0</v>
      </c>
      <c r="G142" s="98"/>
    </row>
    <row r="143" spans="1:7">
      <c r="A143" s="466"/>
      <c r="B143" s="21" t="s">
        <v>744</v>
      </c>
      <c r="C143" s="20">
        <v>1</v>
      </c>
      <c r="D143" s="82">
        <f>D140</f>
        <v>390</v>
      </c>
      <c r="E143" s="22">
        <f t="shared" si="9"/>
        <v>4680</v>
      </c>
      <c r="G143" s="98"/>
    </row>
    <row r="144" spans="1:7">
      <c r="A144" s="77" t="s">
        <v>531</v>
      </c>
      <c r="B144" s="154"/>
      <c r="C144" s="32">
        <f>SUM(C136:C143)</f>
        <v>61</v>
      </c>
      <c r="D144" s="162"/>
      <c r="E144" s="25">
        <f>SUM(E136:E143)</f>
        <v>285480</v>
      </c>
      <c r="G144" s="98"/>
    </row>
    <row r="145" spans="1:7">
      <c r="A145" s="178"/>
      <c r="B145" s="52"/>
      <c r="C145" s="176"/>
      <c r="D145" s="168"/>
      <c r="E145" s="177"/>
      <c r="G145" s="98"/>
    </row>
    <row r="146" spans="1:7" ht="15.75">
      <c r="A146" s="178"/>
      <c r="B146" s="165" t="s">
        <v>743</v>
      </c>
      <c r="C146" s="37">
        <v>1403</v>
      </c>
      <c r="D146" s="465">
        <f>C27</f>
        <v>733</v>
      </c>
      <c r="E146" s="177">
        <f>C146*D146</f>
        <v>1028399</v>
      </c>
      <c r="G146" s="98"/>
    </row>
    <row r="147" spans="1:7">
      <c r="A147" s="178"/>
      <c r="B147" s="52"/>
      <c r="C147" s="176"/>
      <c r="D147" s="168"/>
      <c r="E147" s="177"/>
      <c r="G147" s="98"/>
    </row>
    <row r="148" spans="1:7">
      <c r="A148" s="178"/>
      <c r="B148" s="52" t="s">
        <v>640</v>
      </c>
      <c r="C148" s="176"/>
      <c r="D148" s="168"/>
      <c r="E148" s="177">
        <f>E144+E133+E129+E115</f>
        <v>8700761.3097801544</v>
      </c>
      <c r="G148" s="98"/>
    </row>
    <row r="149" spans="1:7">
      <c r="A149" s="178"/>
      <c r="B149" s="52" t="s">
        <v>641</v>
      </c>
      <c r="C149" s="176"/>
      <c r="D149" s="168"/>
      <c r="E149" s="177"/>
      <c r="G149" s="98"/>
    </row>
    <row r="150" spans="1:7">
      <c r="B150" s="47" t="s">
        <v>642</v>
      </c>
    </row>
  </sheetData>
  <phoneticPr fontId="4" type="noConversion"/>
  <pageMargins left="0.75" right="0.75" top="1" bottom="1" header="0.5" footer="0.5"/>
  <pageSetup paperSize="9" scale="66" orientation="portrait" verticalDpi="0" r:id="rId1"/>
  <headerFooter alignWithMargins="0"/>
</worksheet>
</file>

<file path=xl/worksheets/sheet8.xml><?xml version="1.0" encoding="utf-8"?>
<worksheet xmlns="http://schemas.openxmlformats.org/spreadsheetml/2006/main" xmlns:r="http://schemas.openxmlformats.org/officeDocument/2006/relationships">
  <dimension ref="A1:L30"/>
  <sheetViews>
    <sheetView topLeftCell="A7" zoomScaleNormal="100" workbookViewId="0">
      <selection activeCell="C8" sqref="C8"/>
    </sheetView>
  </sheetViews>
  <sheetFormatPr defaultRowHeight="12.75"/>
  <cols>
    <col min="1" max="1" width="4" style="122" customWidth="1"/>
    <col min="2" max="2" width="45.7109375" style="122" customWidth="1"/>
    <col min="3" max="3" width="13.5703125" style="122" customWidth="1"/>
    <col min="4" max="4" width="12" style="126" customWidth="1"/>
    <col min="5" max="5" width="9" style="126" customWidth="1"/>
    <col min="6" max="6" width="14.42578125" style="122" customWidth="1"/>
    <col min="7" max="7" width="14.28515625" style="125" customWidth="1"/>
    <col min="8" max="8" width="14" style="122" customWidth="1"/>
    <col min="9" max="9" width="11.7109375" style="122" customWidth="1"/>
    <col min="10" max="10" width="9.140625" style="122"/>
    <col min="11" max="11" width="11.7109375" style="122" customWidth="1"/>
    <col min="12" max="12" width="9.28515625" style="122" customWidth="1"/>
    <col min="13" max="13" width="10.140625" style="122" customWidth="1"/>
    <col min="14" max="16384" width="9.140625" style="122"/>
  </cols>
  <sheetData>
    <row r="1" spans="1:9" ht="25.5" customHeight="1">
      <c r="A1" s="121"/>
      <c r="B1" s="645" t="s">
        <v>684</v>
      </c>
      <c r="C1" s="645"/>
      <c r="D1" s="645"/>
      <c r="E1" s="645"/>
      <c r="F1" s="645"/>
      <c r="G1" s="645"/>
      <c r="H1" s="12"/>
      <c r="I1" s="12"/>
    </row>
    <row r="2" spans="1:9" ht="39" customHeight="1">
      <c r="B2" s="4" t="s">
        <v>264</v>
      </c>
      <c r="C2" s="159" t="s">
        <v>659</v>
      </c>
      <c r="D2" s="159" t="s">
        <v>300</v>
      </c>
      <c r="E2" s="159" t="s">
        <v>557</v>
      </c>
      <c r="F2" s="159" t="s">
        <v>558</v>
      </c>
      <c r="G2" s="180" t="s">
        <v>581</v>
      </c>
      <c r="H2" s="160" t="s">
        <v>559</v>
      </c>
    </row>
    <row r="3" spans="1:9">
      <c r="B3" s="123" t="s">
        <v>434</v>
      </c>
      <c r="C3" s="124">
        <f>'Pd Mich'!G68-'Pd Mich'!G42</f>
        <v>2972459</v>
      </c>
      <c r="D3" s="123">
        <v>225</v>
      </c>
      <c r="E3" s="123"/>
      <c r="F3" s="6"/>
      <c r="G3" s="124">
        <f>'Pd Mich'!G68</f>
        <v>2972459</v>
      </c>
      <c r="H3" s="123"/>
    </row>
    <row r="4" spans="1:9">
      <c r="B4" s="123" t="s">
        <v>241</v>
      </c>
      <c r="C4" s="124">
        <f>'Pd NW'!F64-'Pd NW'!F38</f>
        <v>1024618</v>
      </c>
      <c r="D4" s="123">
        <v>68</v>
      </c>
      <c r="E4" s="123"/>
      <c r="F4" s="6"/>
      <c r="G4" s="124">
        <f>'Pd NW'!F64</f>
        <v>1024618</v>
      </c>
      <c r="H4" s="123"/>
    </row>
    <row r="5" spans="1:9" ht="25.5">
      <c r="B5" s="181" t="s">
        <v>583</v>
      </c>
      <c r="C5" s="124">
        <f>H30</f>
        <v>100935.78166417842</v>
      </c>
      <c r="D5" s="123"/>
      <c r="E5" s="124">
        <v>2854</v>
      </c>
      <c r="F5" s="6"/>
      <c r="G5" s="124">
        <f>C5</f>
        <v>100935.78166417842</v>
      </c>
      <c r="H5" s="123"/>
    </row>
    <row r="6" spans="1:9" s="3" customFormat="1">
      <c r="B6" s="4"/>
      <c r="C6" s="5">
        <f>SUM(C3:C5)</f>
        <v>4098012.7816641782</v>
      </c>
      <c r="D6" s="4">
        <f>SUM(D3:D5)</f>
        <v>293</v>
      </c>
      <c r="E6" s="4"/>
      <c r="F6" s="6">
        <f>C6/D6/12</f>
        <v>1165.5326455245104</v>
      </c>
      <c r="G6" s="5">
        <f>SUM(G3:G5)</f>
        <v>4098012.7816641782</v>
      </c>
      <c r="H6" s="6">
        <f>G6/D6/12</f>
        <v>1165.5326455245104</v>
      </c>
      <c r="I6" s="120"/>
    </row>
    <row r="7" spans="1:9" s="3" customFormat="1">
      <c r="B7" s="158" t="s">
        <v>207</v>
      </c>
      <c r="C7" s="258">
        <f>'[2]Przedsz.M-ce'!$F$8</f>
        <v>112500</v>
      </c>
      <c r="D7" s="4"/>
      <c r="E7" s="4"/>
      <c r="F7" s="6"/>
      <c r="G7" s="5"/>
      <c r="H7" s="4"/>
    </row>
    <row r="8" spans="1:9" s="3" customFormat="1">
      <c r="B8" s="158" t="s">
        <v>208</v>
      </c>
      <c r="C8" s="258">
        <f>'[2]ZSP NW'!$F$23</f>
        <v>36040</v>
      </c>
      <c r="D8" s="4"/>
      <c r="E8" s="4"/>
      <c r="F8" s="6"/>
      <c r="G8" s="5"/>
      <c r="H8" s="4"/>
    </row>
    <row r="9" spans="1:9" s="3" customFormat="1" ht="22.5">
      <c r="B9" s="156" t="s">
        <v>554</v>
      </c>
      <c r="C9" s="124">
        <f>D6-D9</f>
        <v>292</v>
      </c>
      <c r="D9" s="4">
        <v>1</v>
      </c>
      <c r="E9" s="4"/>
      <c r="F9" s="6"/>
      <c r="G9" s="5"/>
      <c r="H9" s="4"/>
    </row>
    <row r="10" spans="1:9" s="3" customFormat="1" ht="22.5">
      <c r="B10" s="156" t="s">
        <v>683</v>
      </c>
      <c r="C10" s="157">
        <v>52200</v>
      </c>
      <c r="D10" s="4"/>
      <c r="E10" s="4"/>
      <c r="F10" s="6"/>
      <c r="G10" s="5"/>
      <c r="H10" s="4"/>
    </row>
    <row r="11" spans="1:9" s="3" customFormat="1">
      <c r="B11" s="4"/>
      <c r="C11" s="5">
        <f>C6-C7-C8-C10</f>
        <v>3897272.7816641782</v>
      </c>
      <c r="D11" s="5">
        <f>D6-D9</f>
        <v>292</v>
      </c>
      <c r="E11" s="5"/>
      <c r="F11" s="6">
        <f>C11/D11/12</f>
        <v>1112.2353828950279</v>
      </c>
      <c r="G11" s="5"/>
      <c r="H11" s="4"/>
    </row>
    <row r="12" spans="1:9" s="3" customFormat="1" ht="12.75" hidden="1" customHeight="1">
      <c r="B12" s="4"/>
      <c r="C12" s="5"/>
      <c r="D12" s="6"/>
      <c r="E12" s="6"/>
      <c r="F12" s="6"/>
      <c r="G12" s="5"/>
      <c r="H12" s="4"/>
    </row>
    <row r="13" spans="1:9" s="3" customFormat="1">
      <c r="D13" s="10"/>
      <c r="E13" s="10"/>
      <c r="F13" s="10"/>
      <c r="G13" s="9"/>
      <c r="H13" s="8"/>
      <c r="I13" s="107"/>
    </row>
    <row r="14" spans="1:9" s="3" customFormat="1">
      <c r="B14" s="8"/>
      <c r="C14" s="9"/>
      <c r="D14" s="10"/>
      <c r="E14" s="10"/>
      <c r="F14" s="10"/>
      <c r="G14" s="9"/>
      <c r="H14" s="8"/>
    </row>
    <row r="15" spans="1:9" s="3" customFormat="1" ht="12.75" hidden="1" customHeight="1">
      <c r="B15" s="8" t="s">
        <v>555</v>
      </c>
      <c r="C15" s="9"/>
      <c r="D15" s="10"/>
      <c r="E15" s="10"/>
      <c r="F15" s="10">
        <v>703.98</v>
      </c>
      <c r="G15" s="9"/>
      <c r="H15" s="8">
        <v>29.37</v>
      </c>
    </row>
    <row r="16" spans="1:9" s="3" customFormat="1" ht="12.75" hidden="1" customHeight="1">
      <c r="B16" s="8" t="s">
        <v>560</v>
      </c>
      <c r="C16" s="9"/>
      <c r="D16" s="10"/>
      <c r="E16" s="10"/>
      <c r="F16" s="10">
        <v>375.46</v>
      </c>
      <c r="G16" s="107"/>
      <c r="H16" s="3">
        <v>15.67</v>
      </c>
    </row>
    <row r="17" spans="2:12" s="3" customFormat="1" ht="12.75" hidden="1" customHeight="1">
      <c r="B17" s="8" t="s">
        <v>556</v>
      </c>
      <c r="C17" s="9"/>
      <c r="D17" s="10"/>
      <c r="E17" s="10"/>
      <c r="F17" s="10">
        <v>1820</v>
      </c>
      <c r="G17" s="107">
        <v>4320</v>
      </c>
    </row>
    <row r="18" spans="2:12" s="3" customFormat="1" hidden="1">
      <c r="B18" s="8" t="s">
        <v>182</v>
      </c>
      <c r="C18" s="9">
        <v>0</v>
      </c>
      <c r="D18" s="10"/>
      <c r="E18" s="10"/>
      <c r="F18" s="10"/>
      <c r="G18" s="107"/>
    </row>
    <row r="19" spans="2:12" s="3" customFormat="1" hidden="1">
      <c r="B19" s="8" t="s">
        <v>222</v>
      </c>
      <c r="C19" s="9">
        <v>0</v>
      </c>
      <c r="D19" s="10"/>
      <c r="E19" s="10">
        <v>21</v>
      </c>
      <c r="F19" s="10"/>
      <c r="G19" s="107"/>
    </row>
    <row r="20" spans="2:12" s="3" customFormat="1" hidden="1">
      <c r="B20" s="8" t="s">
        <v>223</v>
      </c>
      <c r="C20" s="9">
        <v>0</v>
      </c>
      <c r="D20" s="10"/>
      <c r="E20" s="10">
        <v>50</v>
      </c>
      <c r="F20" s="10"/>
      <c r="G20" s="120"/>
    </row>
    <row r="21" spans="2:12" s="3" customFormat="1" hidden="1">
      <c r="B21" s="8" t="s">
        <v>224</v>
      </c>
      <c r="C21" s="9">
        <v>0</v>
      </c>
      <c r="D21" s="10"/>
      <c r="E21" s="10">
        <v>20</v>
      </c>
      <c r="F21" s="10"/>
      <c r="G21" s="107"/>
    </row>
    <row r="22" spans="2:12" s="3" customFormat="1" hidden="1">
      <c r="B22" s="8" t="s">
        <v>183</v>
      </c>
      <c r="C22" s="9">
        <f>SUM(C17+C18+C19+C20+C21)</f>
        <v>0</v>
      </c>
      <c r="D22" s="10"/>
      <c r="E22" s="10"/>
      <c r="F22" s="10"/>
      <c r="G22" s="107"/>
    </row>
    <row r="23" spans="2:12" s="3" customFormat="1">
      <c r="B23" s="8"/>
      <c r="C23" s="9"/>
      <c r="D23" s="10"/>
      <c r="E23" s="10"/>
      <c r="F23" s="10"/>
      <c r="G23" s="107"/>
    </row>
    <row r="24" spans="2:12" ht="44.25" customHeight="1">
      <c r="B24" s="482" t="s">
        <v>605</v>
      </c>
      <c r="C24" s="482"/>
      <c r="D24" s="482"/>
      <c r="E24" s="97"/>
      <c r="F24" s="120">
        <f>F11*0.75</f>
        <v>834.17653717127087</v>
      </c>
      <c r="H24" s="126"/>
      <c r="I24" s="126"/>
      <c r="L24" s="126"/>
    </row>
    <row r="25" spans="2:12" ht="44.25" customHeight="1">
      <c r="B25" s="482" t="s">
        <v>604</v>
      </c>
      <c r="C25" s="482"/>
      <c r="D25" s="482"/>
      <c r="E25" s="97"/>
      <c r="F25" s="120">
        <f>SUM(F11*0.4)</f>
        <v>444.89415315801119</v>
      </c>
      <c r="H25" s="126"/>
      <c r="I25" s="126"/>
      <c r="L25" s="126"/>
    </row>
    <row r="26" spans="2:12" ht="19.5" customHeight="1">
      <c r="B26" s="646" t="s">
        <v>602</v>
      </c>
      <c r="C26" s="646"/>
      <c r="D26" s="646"/>
      <c r="E26" s="104"/>
      <c r="F26" s="120">
        <v>1321.74</v>
      </c>
      <c r="G26" s="120">
        <v>1640.78</v>
      </c>
      <c r="H26" s="120">
        <v>4329.84</v>
      </c>
      <c r="I26" s="126"/>
      <c r="L26" s="126"/>
    </row>
    <row r="27" spans="2:12">
      <c r="B27" s="3" t="s">
        <v>603</v>
      </c>
      <c r="F27" s="3">
        <v>382.85</v>
      </c>
    </row>
    <row r="28" spans="2:12">
      <c r="B28" s="3"/>
      <c r="F28" s="3"/>
    </row>
    <row r="29" spans="2:12">
      <c r="C29" s="3" t="s">
        <v>685</v>
      </c>
      <c r="D29" s="120" t="s">
        <v>859</v>
      </c>
      <c r="E29" s="120"/>
      <c r="F29" s="3" t="s">
        <v>861</v>
      </c>
      <c r="G29" s="478" t="s">
        <v>860</v>
      </c>
    </row>
    <row r="30" spans="2:12">
      <c r="C30" s="120">
        <f>CUW!F36</f>
        <v>1330180</v>
      </c>
      <c r="D30" s="126">
        <f>C30/11.5</f>
        <v>115667.82608695653</v>
      </c>
      <c r="F30" s="126">
        <f>D30*3</f>
        <v>347003.47826086957</v>
      </c>
      <c r="G30" s="125">
        <f>C30-F30</f>
        <v>983176.52173913037</v>
      </c>
      <c r="H30" s="126">
        <f>G30/E5*D6</f>
        <v>100935.78166417842</v>
      </c>
    </row>
  </sheetData>
  <mergeCells count="4">
    <mergeCell ref="B1:G1"/>
    <mergeCell ref="B24:D24"/>
    <mergeCell ref="B25:D25"/>
    <mergeCell ref="B26:D26"/>
  </mergeCells>
  <pageMargins left="0.70866141732283472" right="0.70866141732283472" top="0.74803149606299213" bottom="0.74803149606299213" header="0.31496062992125984" footer="0.31496062992125984"/>
  <pageSetup paperSize="9" orientation="landscape" verticalDpi="0" r:id="rId1"/>
</worksheet>
</file>

<file path=xl/worksheets/sheet9.xml><?xml version="1.0" encoding="utf-8"?>
<worksheet xmlns="http://schemas.openxmlformats.org/spreadsheetml/2006/main" xmlns:r="http://schemas.openxmlformats.org/officeDocument/2006/relationships">
  <dimension ref="B1:L29"/>
  <sheetViews>
    <sheetView topLeftCell="B1" zoomScaleNormal="100" workbookViewId="0">
      <selection activeCell="J15" sqref="J15"/>
    </sheetView>
  </sheetViews>
  <sheetFormatPr defaultRowHeight="12.75"/>
  <cols>
    <col min="1" max="1" width="4" style="252" customWidth="1"/>
    <col min="2" max="2" width="45.7109375" style="252" customWidth="1"/>
    <col min="3" max="3" width="13.5703125" style="252" customWidth="1"/>
    <col min="4" max="4" width="12.28515625" style="272" customWidth="1"/>
    <col min="5" max="5" width="9" style="272" customWidth="1"/>
    <col min="6" max="6" width="14.42578125" style="252" customWidth="1"/>
    <col min="7" max="7" width="14.28515625" style="260" customWidth="1"/>
    <col min="8" max="8" width="14" style="252" customWidth="1"/>
    <col min="9" max="9" width="11.7109375" style="252" customWidth="1"/>
    <col min="10" max="10" width="9.140625" style="252"/>
    <col min="11" max="11" width="11.7109375" style="252" bestFit="1" customWidth="1"/>
    <col min="12" max="12" width="9.28515625" style="252" bestFit="1" customWidth="1"/>
    <col min="13" max="13" width="10.140625" style="252" bestFit="1" customWidth="1"/>
    <col min="14" max="16384" width="9.140625" style="252"/>
  </cols>
  <sheetData>
    <row r="1" spans="2:12" ht="25.5" customHeight="1">
      <c r="B1" s="645" t="s">
        <v>761</v>
      </c>
      <c r="C1" s="649"/>
      <c r="D1" s="649"/>
      <c r="E1" s="649"/>
      <c r="F1" s="649"/>
      <c r="G1" s="649"/>
      <c r="H1" s="253"/>
      <c r="I1" s="253"/>
    </row>
    <row r="2" spans="2:12" ht="39" customHeight="1">
      <c r="B2" s="254" t="s">
        <v>264</v>
      </c>
      <c r="C2" s="159" t="s">
        <v>856</v>
      </c>
      <c r="D2" s="255" t="s">
        <v>300</v>
      </c>
      <c r="E2" s="255" t="s">
        <v>557</v>
      </c>
      <c r="F2" s="255" t="s">
        <v>558</v>
      </c>
      <c r="G2" s="180" t="s">
        <v>857</v>
      </c>
      <c r="H2" s="256" t="s">
        <v>559</v>
      </c>
    </row>
    <row r="3" spans="2:12">
      <c r="B3" s="257" t="s">
        <v>434</v>
      </c>
      <c r="C3" s="258">
        <f>'Pd Mich'!G68-'Pd Mich'!G42</f>
        <v>2972459</v>
      </c>
      <c r="D3" s="257">
        <v>225</v>
      </c>
      <c r="E3" s="257"/>
      <c r="F3" s="259"/>
      <c r="G3" s="258">
        <f>'Pd Mich'!G68</f>
        <v>2972459</v>
      </c>
      <c r="H3" s="257"/>
    </row>
    <row r="4" spans="2:12">
      <c r="B4" s="257" t="s">
        <v>241</v>
      </c>
      <c r="C4" s="258">
        <f>'Pd NW'!F64-'Pd NW'!F38</f>
        <v>1024618</v>
      </c>
      <c r="D4" s="257">
        <v>68</v>
      </c>
      <c r="E4" s="257"/>
      <c r="F4" s="259"/>
      <c r="G4" s="258">
        <f>'Pd NW'!F64</f>
        <v>1024618</v>
      </c>
      <c r="H4" s="257"/>
      <c r="I4" s="260"/>
      <c r="J4" s="260"/>
    </row>
    <row r="5" spans="2:12" ht="25.5">
      <c r="B5" s="261" t="s">
        <v>637</v>
      </c>
      <c r="C5" s="258">
        <f>(CUW!F187)/E5*D6</f>
        <v>100935.78166417842</v>
      </c>
      <c r="D5" s="257"/>
      <c r="E5" s="258">
        <v>2854</v>
      </c>
      <c r="F5" s="259"/>
      <c r="G5" s="258">
        <f>C5</f>
        <v>100935.78166417842</v>
      </c>
      <c r="H5" s="257"/>
    </row>
    <row r="6" spans="2:12" s="262" customFormat="1">
      <c r="B6" s="254"/>
      <c r="C6" s="263">
        <f>SUM(C3:C5)</f>
        <v>4098012.7816641782</v>
      </c>
      <c r="D6" s="254">
        <f>SUM(D3:D5)</f>
        <v>293</v>
      </c>
      <c r="E6" s="254"/>
      <c r="F6" s="259">
        <f>C6/D6/12</f>
        <v>1165.5326455245104</v>
      </c>
      <c r="G6" s="263">
        <f>SUM(G3:G5)</f>
        <v>4098012.7816641782</v>
      </c>
      <c r="H6" s="259">
        <f>G6/D6/12</f>
        <v>1165.5326455245104</v>
      </c>
      <c r="I6" s="264"/>
    </row>
    <row r="7" spans="2:12" s="262" customFormat="1">
      <c r="B7" s="265" t="s">
        <v>207</v>
      </c>
      <c r="C7" s="258">
        <f>'[2]Przedsz.M-ce'!$F$8</f>
        <v>112500</v>
      </c>
      <c r="D7" s="254"/>
      <c r="E7" s="254"/>
      <c r="F7" s="259"/>
      <c r="G7" s="263"/>
      <c r="H7" s="254"/>
    </row>
    <row r="8" spans="2:12" s="262" customFormat="1">
      <c r="B8" s="265" t="s">
        <v>208</v>
      </c>
      <c r="C8" s="258">
        <f>'[2]ZSP NW'!$F$23</f>
        <v>36040</v>
      </c>
      <c r="D8" s="254"/>
      <c r="E8" s="254"/>
      <c r="F8" s="259"/>
      <c r="G8" s="263"/>
      <c r="H8" s="254"/>
    </row>
    <row r="9" spans="2:12" s="262" customFormat="1" ht="22.5">
      <c r="B9" s="266" t="s">
        <v>554</v>
      </c>
      <c r="C9" s="258">
        <f>D6-D9</f>
        <v>292</v>
      </c>
      <c r="D9" s="254">
        <v>1</v>
      </c>
      <c r="E9" s="254"/>
      <c r="F9" s="259"/>
      <c r="G9" s="263"/>
      <c r="H9" s="254"/>
    </row>
    <row r="10" spans="2:12" s="262" customFormat="1" ht="22.5">
      <c r="B10" s="156" t="s">
        <v>858</v>
      </c>
      <c r="C10" s="258">
        <f>4350*12</f>
        <v>52200</v>
      </c>
      <c r="D10" s="254"/>
      <c r="E10" s="254"/>
      <c r="F10" s="259"/>
      <c r="G10" s="263"/>
      <c r="H10" s="254"/>
    </row>
    <row r="11" spans="2:12" s="262" customFormat="1">
      <c r="B11" s="254"/>
      <c r="C11" s="263">
        <f>C6-C7-C8-C10</f>
        <v>3897272.7816641782</v>
      </c>
      <c r="D11" s="263">
        <f>D6-D9</f>
        <v>292</v>
      </c>
      <c r="E11" s="263"/>
      <c r="F11" s="259">
        <f>C11/D11/12</f>
        <v>1112.2353828950279</v>
      </c>
      <c r="G11" s="263"/>
      <c r="H11" s="254"/>
    </row>
    <row r="12" spans="2:12" s="262" customFormat="1" ht="12.75" customHeight="1">
      <c r="B12" s="254"/>
      <c r="C12" s="263"/>
      <c r="D12" s="259"/>
      <c r="E12" s="259"/>
      <c r="F12" s="259"/>
      <c r="G12" s="263"/>
      <c r="H12" s="254"/>
    </row>
    <row r="13" spans="2:12" s="262" customFormat="1">
      <c r="B13" s="269"/>
      <c r="C13" s="268"/>
      <c r="D13" s="267"/>
      <c r="E13" s="267"/>
      <c r="F13" s="267"/>
      <c r="G13" s="270"/>
    </row>
    <row r="14" spans="2:12" ht="44.25" customHeight="1">
      <c r="B14" s="482" t="s">
        <v>727</v>
      </c>
      <c r="C14" s="647"/>
      <c r="D14" s="647"/>
      <c r="E14" s="271"/>
      <c r="F14" s="264">
        <f>F11*0.75</f>
        <v>834.17653717127087</v>
      </c>
      <c r="G14" s="272"/>
      <c r="H14" s="272">
        <f>F14-734.86</f>
        <v>99.316537171270852</v>
      </c>
      <c r="I14" s="272"/>
      <c r="L14" s="272"/>
    </row>
    <row r="15" spans="2:12" ht="44.25" customHeight="1">
      <c r="B15" s="482" t="s">
        <v>728</v>
      </c>
      <c r="C15" s="647"/>
      <c r="D15" s="647"/>
      <c r="E15" s="271"/>
      <c r="F15" s="264">
        <f>SUM(F11*0.4)</f>
        <v>444.89415315801119</v>
      </c>
      <c r="G15" s="272"/>
      <c r="H15" s="272">
        <f>F15-391.93</f>
        <v>52.964153158011186</v>
      </c>
      <c r="I15" s="272"/>
      <c r="L15" s="272"/>
    </row>
    <row r="16" spans="2:12" ht="16.5" customHeight="1">
      <c r="B16" s="3" t="s">
        <v>737</v>
      </c>
      <c r="C16" s="271"/>
      <c r="D16" s="271"/>
      <c r="E16" s="271"/>
      <c r="F16" s="264">
        <f>F11</f>
        <v>1112.2353828950279</v>
      </c>
      <c r="G16" s="272"/>
      <c r="H16" s="272"/>
      <c r="I16" s="272"/>
      <c r="L16" s="272"/>
    </row>
    <row r="17" spans="2:12" ht="35.25" customHeight="1">
      <c r="B17" s="646" t="s">
        <v>729</v>
      </c>
      <c r="C17" s="648"/>
      <c r="D17" s="648"/>
      <c r="E17" s="273"/>
      <c r="F17" s="264"/>
      <c r="G17" s="270"/>
      <c r="H17" s="272"/>
      <c r="I17" s="272"/>
      <c r="L17" s="272"/>
    </row>
    <row r="18" spans="2:12" ht="20.25" customHeight="1">
      <c r="B18" s="104" t="s">
        <v>730</v>
      </c>
      <c r="C18" s="273"/>
      <c r="D18" s="273"/>
      <c r="E18" s="273"/>
      <c r="F18" s="264"/>
      <c r="G18" s="270"/>
      <c r="H18" s="272"/>
      <c r="I18" s="272"/>
      <c r="L18" s="272"/>
    </row>
    <row r="19" spans="2:12">
      <c r="B19" s="460" t="s">
        <v>731</v>
      </c>
      <c r="C19" s="272">
        <v>4350</v>
      </c>
    </row>
    <row r="20" spans="2:12">
      <c r="B20" s="460" t="s">
        <v>732</v>
      </c>
      <c r="C20" s="272">
        <v>1660</v>
      </c>
    </row>
    <row r="21" spans="2:12" ht="12" customHeight="1">
      <c r="B21" s="460" t="s">
        <v>733</v>
      </c>
      <c r="C21" s="272">
        <v>1340</v>
      </c>
    </row>
    <row r="22" spans="2:12">
      <c r="B22" s="460" t="s">
        <v>734</v>
      </c>
      <c r="C22" s="272">
        <v>390</v>
      </c>
    </row>
    <row r="23" spans="2:12">
      <c r="B23" s="460" t="s">
        <v>735</v>
      </c>
      <c r="C23" s="272">
        <v>420</v>
      </c>
    </row>
    <row r="24" spans="2:12">
      <c r="B24" s="460" t="s">
        <v>736</v>
      </c>
      <c r="C24" s="272">
        <v>380</v>
      </c>
    </row>
    <row r="25" spans="2:12">
      <c r="B25" s="460" t="s">
        <v>738</v>
      </c>
      <c r="C25" s="272">
        <v>640</v>
      </c>
    </row>
    <row r="28" spans="2:12">
      <c r="C28" s="3" t="s">
        <v>685</v>
      </c>
      <c r="D28" s="120" t="s">
        <v>859</v>
      </c>
      <c r="E28" s="120"/>
      <c r="F28" s="3" t="s">
        <v>861</v>
      </c>
      <c r="G28" s="478" t="s">
        <v>860</v>
      </c>
      <c r="H28" s="122"/>
    </row>
    <row r="29" spans="2:12">
      <c r="C29" s="120">
        <f>CUW!F36</f>
        <v>1330180</v>
      </c>
      <c r="D29" s="126">
        <f>C29/11.5</f>
        <v>115667.82608695653</v>
      </c>
      <c r="E29" s="126"/>
      <c r="F29" s="126">
        <f>D29*3</f>
        <v>347003.47826086957</v>
      </c>
      <c r="G29" s="125">
        <f>C29-F29</f>
        <v>983176.52173913037</v>
      </c>
      <c r="H29" s="126">
        <f>G29/E5*D6</f>
        <v>100935.78166417842</v>
      </c>
    </row>
  </sheetData>
  <mergeCells count="4">
    <mergeCell ref="B14:D14"/>
    <mergeCell ref="B15:D15"/>
    <mergeCell ref="B17:D17"/>
    <mergeCell ref="B1:G1"/>
  </mergeCells>
  <pageMargins left="0.7" right="0.7" top="0.75" bottom="0.75" header="0.3" footer="0.3"/>
  <pageSetup paperSize="9" scale="91"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Zakresy nazwane</vt:lpstr>
      </vt:variant>
      <vt:variant>
        <vt:i4>10</vt:i4>
      </vt:variant>
    </vt:vector>
  </HeadingPairs>
  <TitlesOfParts>
    <vt:vector size="24" baseType="lpstr">
      <vt:lpstr>ZS Mich</vt:lpstr>
      <vt:lpstr>ZSP NW</vt:lpstr>
      <vt:lpstr>Pd NW</vt:lpstr>
      <vt:lpstr>Pd Mich</vt:lpstr>
      <vt:lpstr>ZSO Kom</vt:lpstr>
      <vt:lpstr>CUW</vt:lpstr>
      <vt:lpstr>Niepubl placówki</vt:lpstr>
      <vt:lpstr>Aktualizacja IV</vt:lpstr>
      <vt:lpstr>Wylicz dotacji przedszk</vt:lpstr>
      <vt:lpstr>Wylicz dotacji O</vt:lpstr>
      <vt:lpstr>Niepub dochody</vt:lpstr>
      <vt:lpstr>wydatki oświaty</vt:lpstr>
      <vt:lpstr>wyd niepubl</vt:lpstr>
      <vt:lpstr>Zbiorczo-paragr</vt:lpstr>
      <vt:lpstr>CUW!Obszar_wydruku</vt:lpstr>
      <vt:lpstr>'Niepubl placówki'!Obszar_wydruku</vt:lpstr>
      <vt:lpstr>'Pd Mich'!Obszar_wydruku</vt:lpstr>
      <vt:lpstr>'wyd niepubl'!Obszar_wydruku</vt:lpstr>
      <vt:lpstr>'wydatki oświaty'!Obszar_wydruku</vt:lpstr>
      <vt:lpstr>'Wylicz dotacji przedszk'!Obszar_wydruku</vt:lpstr>
      <vt:lpstr>'Zbiorczo-paragr'!Obszar_wydruku</vt:lpstr>
      <vt:lpstr>'ZS Mich'!Obszar_wydruku</vt:lpstr>
      <vt:lpstr>'ZSO Kom'!Obszar_wydruku</vt:lpstr>
      <vt:lpstr>'ZSP NW'!Obszar_wydruku</vt:lpstr>
    </vt:vector>
  </TitlesOfParts>
  <Company>U.G.M.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132/99</dc:creator>
  <cp:lastModifiedBy>Andrzej</cp:lastModifiedBy>
  <cp:lastPrinted>2018-11-27T07:18:22Z</cp:lastPrinted>
  <dcterms:created xsi:type="dcterms:W3CDTF">2000-08-22T06:58:37Z</dcterms:created>
  <dcterms:modified xsi:type="dcterms:W3CDTF">2019-02-04T09:33:20Z</dcterms:modified>
</cp:coreProperties>
</file>